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280" windowHeight="61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<sst xmlns="http://schemas.openxmlformats.org/spreadsheetml/2006/main" count="76" uniqueCount="54">
  <si>
    <t>Spreadsheet to compute Butterworth and Chebychev low-pass filters up to 16th order</t>
  </si>
  <si>
    <t>Written by Kenneth A. Kuhn</t>
  </si>
  <si>
    <t>Based on Analysis and Design of Integrated Electronic Circuits by Paul M. Chirlian,</t>
  </si>
  <si>
    <t>second edtion, Harper &amp; Row, pp 912 - 921</t>
  </si>
  <si>
    <t>Instructions:</t>
  </si>
  <si>
    <t>1.  Enter the two response pairs (in red) that define the desired filter response.  (other cells locked)</t>
  </si>
  <si>
    <t>2.  The Butterworth and Chebyshev filter poles are then calculated.</t>
  </si>
  <si>
    <t>3a. Rp and Rs are response factors between 0 and &lt;1.</t>
  </si>
  <si>
    <t>3b. For Butterworth filters Rp should generally be greater than 0.7</t>
  </si>
  <si>
    <t>3c. For Chebyshev filters Rp should generally be greater than 0.9</t>
  </si>
  <si>
    <t>3d. For either filter, Rs should generally be less than 0.3</t>
  </si>
  <si>
    <t>4.  Fs must be greater than Fp</t>
  </si>
  <si>
    <t>5b. The pole sections are listed from the highest damping down to the lowest damping.</t>
  </si>
  <si>
    <t>5a. The filter should be implemented in the same order as the pole sections.</t>
  </si>
  <si>
    <t>7.  The poles are numbered from 0 to n-1.  The 0 and n-1th poles are closest to jw axis.</t>
  </si>
  <si>
    <t>Enter the two response pairs that define the desired filter response</t>
  </si>
  <si>
    <t>Hz., Fp, The highest frequency of interest in the passband</t>
  </si>
  <si>
    <t>Hz., Fs, The lowest frequency of interest in the stopband</t>
  </si>
  <si>
    <t>Butterworth filter:</t>
  </si>
  <si>
    <t>Raw calculations</t>
  </si>
  <si>
    <t>Temporary pole pairs</t>
  </si>
  <si>
    <t>1/(Rs*Rs)-1 =</t>
  </si>
  <si>
    <t>1/(Rp*Rp)-1 =</t>
  </si>
  <si>
    <t>The required order:</t>
  </si>
  <si>
    <t>Rounded up order:</t>
  </si>
  <si>
    <t>n</t>
  </si>
  <si>
    <t>Lowest cutoff freq:</t>
  </si>
  <si>
    <t>Hz</t>
  </si>
  <si>
    <t>Highest cutoff freq:</t>
  </si>
  <si>
    <t>Average cutoff freq:</t>
  </si>
  <si>
    <t>rad/sec</t>
  </si>
  <si>
    <t>=pi/2</t>
  </si>
  <si>
    <t>---- s plane poles ----</t>
  </si>
  <si>
    <t>--- Pole Numbers ---</t>
  </si>
  <si>
    <t>sigma</t>
  </si>
  <si>
    <t>+-jw</t>
  </si>
  <si>
    <t>wn</t>
  </si>
  <si>
    <t>zeta</t>
  </si>
  <si>
    <t>Fn (in Hz)</t>
  </si>
  <si>
    <t>Q</t>
  </si>
  <si>
    <t>Chebyshev filter:</t>
  </si>
  <si>
    <t>epsilon =</t>
  </si>
  <si>
    <t>Cutoff freq:</t>
  </si>
  <si>
    <t>=(1/n)*asinh(1/epsilon)</t>
  </si>
  <si>
    <t>-- wn, z coefficients -</t>
  </si>
  <si>
    <t>-- F, Q coefficients --</t>
  </si>
  <si>
    <t>6b. Color is used to separate each of the three forms of the poles</t>
  </si>
  <si>
    <t>6a.  Each pole is given in three formats: s-plane location; wn, zeta; Fn (Hz), Q</t>
  </si>
  <si>
    <t>8.  The spreadsheet is designed so that the Butterworth solution prints on page 1 and</t>
  </si>
  <si>
    <t xml:space="preserve">     the Chebyshev solution prints on page 2.</t>
  </si>
  <si>
    <t xml:space="preserve">       Rp, The minimum tolerable response factor in the passband</t>
  </si>
  <si>
    <t xml:space="preserve">       Rs, The maximum tolerable response factor in the stopband</t>
  </si>
  <si>
    <t>lpf_design.xls</t>
  </si>
  <si>
    <t>Version 1.3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</si>
</sst>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7"/>
      <name val="Arial"/>
      <family val="2"/>
    </font>
    <font>
      <sz val="10"/>
      <color indexed="17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0" fillId="0" borderId="0" xfId="0" applyFont="1" applyAlignment="1" quotePrefix="1">
      <alignment/>
    </xf>
    <xf numFmtId="0" fontId="6" fillId="0" borderId="0" xfId="0" applyFont="1" applyAlignment="1" quotePrefix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/>
    </xf>
    <xf numFmtId="0" fontId="5" fillId="0" borderId="0" xfId="0" applyFont="1" applyAlignment="1" quotePrefix="1">
      <alignment/>
    </xf>
    <xf numFmtId="0" fontId="8" fillId="0" borderId="0" xfId="0" applyFont="1" applyAlignment="1" quotePrefix="1">
      <alignment/>
    </xf>
    <xf numFmtId="0" fontId="10" fillId="0" borderId="0" xfId="0" applyFont="1" applyAlignment="1" quotePrefix="1">
      <alignment/>
    </xf>
    <xf numFmtId="0" fontId="13" fillId="0" borderId="0" xfId="0" applyFont="1" applyAlignment="1">
      <alignment/>
    </xf>
    <xf numFmtId="164" fontId="10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4" fontId="5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9">
      <selection activeCell="A26" sqref="A26"/>
    </sheetView>
  </sheetViews>
  <sheetFormatPr defaultColWidth="9.140625" defaultRowHeight="12.75"/>
  <sheetData>
    <row r="1" spans="1:5" ht="12.75">
      <c r="A1" s="1" t="s">
        <v>0</v>
      </c>
      <c r="B1" s="1"/>
      <c r="C1" s="1"/>
      <c r="D1" s="1"/>
      <c r="E1" s="1"/>
    </row>
    <row r="2" spans="1:7" ht="12.75">
      <c r="A2" s="1" t="s">
        <v>52</v>
      </c>
      <c r="C2" s="1" t="s">
        <v>1</v>
      </c>
      <c r="D2" s="1"/>
      <c r="E2" s="1"/>
      <c r="F2" s="1"/>
      <c r="G2" s="1" t="s">
        <v>53</v>
      </c>
    </row>
    <row r="3" spans="1:5" ht="12.75">
      <c r="A3" s="5" t="s">
        <v>2</v>
      </c>
      <c r="B3" s="1"/>
      <c r="C3" s="1"/>
      <c r="D3" s="1"/>
      <c r="E3" s="1"/>
    </row>
    <row r="4" spans="1:5" ht="12.75">
      <c r="A4" s="5" t="s">
        <v>3</v>
      </c>
      <c r="B4" s="1"/>
      <c r="C4" s="1"/>
      <c r="D4" s="1"/>
      <c r="E4" s="1"/>
    </row>
    <row r="6" ht="12.75">
      <c r="A6" s="2" t="s">
        <v>4</v>
      </c>
    </row>
    <row r="7" ht="12.75">
      <c r="A7" t="s">
        <v>5</v>
      </c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  <row r="11" ht="12.75">
      <c r="A11" t="s">
        <v>9</v>
      </c>
    </row>
    <row r="12" ht="12.75">
      <c r="A12" t="s">
        <v>10</v>
      </c>
    </row>
    <row r="13" ht="12.75">
      <c r="A13" t="s">
        <v>11</v>
      </c>
    </row>
    <row r="14" ht="12.75">
      <c r="A14" t="s">
        <v>12</v>
      </c>
    </row>
    <row r="15" ht="12.75">
      <c r="A15" t="s">
        <v>13</v>
      </c>
    </row>
    <row r="16" ht="12.75">
      <c r="A16" t="s">
        <v>47</v>
      </c>
    </row>
    <row r="17" ht="12.75">
      <c r="A17" t="s">
        <v>46</v>
      </c>
    </row>
    <row r="18" ht="12.75">
      <c r="A18" t="s">
        <v>14</v>
      </c>
    </row>
    <row r="19" ht="12.75">
      <c r="A19" t="s">
        <v>48</v>
      </c>
    </row>
    <row r="20" ht="12.75">
      <c r="A20" t="s">
        <v>49</v>
      </c>
    </row>
    <row r="22" ht="12.75">
      <c r="A22" s="1" t="s">
        <v>15</v>
      </c>
    </row>
    <row r="23" spans="1:2" ht="12.75">
      <c r="A23" s="27">
        <v>3500</v>
      </c>
      <c r="B23" t="s">
        <v>16</v>
      </c>
    </row>
    <row r="24" spans="1:2" ht="12.75">
      <c r="A24" s="26">
        <v>0.9441</v>
      </c>
      <c r="B24" t="s">
        <v>50</v>
      </c>
    </row>
    <row r="25" spans="1:2" ht="12.75">
      <c r="A25" s="27">
        <v>6000</v>
      </c>
      <c r="B25" t="s">
        <v>17</v>
      </c>
    </row>
    <row r="26" spans="1:2" ht="12.75">
      <c r="A26" s="26">
        <v>0.1</v>
      </c>
      <c r="B26" t="s">
        <v>51</v>
      </c>
    </row>
    <row r="27" spans="6:8" ht="12.75">
      <c r="F27" s="6"/>
      <c r="H27" s="7"/>
    </row>
    <row r="28" ht="12.75">
      <c r="A28" s="2" t="s">
        <v>18</v>
      </c>
    </row>
    <row r="29" spans="1:9" ht="12.75">
      <c r="A29" t="s">
        <v>19</v>
      </c>
      <c r="G29" s="17" t="s">
        <v>20</v>
      </c>
      <c r="H29" s="18"/>
      <c r="I29" s="3"/>
    </row>
    <row r="30" spans="1:8" ht="12.75">
      <c r="A30" t="s">
        <v>21</v>
      </c>
      <c r="C30">
        <f>1/($A$26*$A$26)-1</f>
        <v>98.99999999999999</v>
      </c>
      <c r="G30" s="19">
        <f>IF(E33="Odd",INT(C33/2),C33/2-1)</f>
        <v>3</v>
      </c>
      <c r="H30" s="19">
        <f>IF(E33="Odd",G30,G30+1)</f>
        <v>3</v>
      </c>
    </row>
    <row r="31" spans="1:8" ht="12.75">
      <c r="A31" t="s">
        <v>22</v>
      </c>
      <c r="C31">
        <f>1/($A$24*$A$24)-1</f>
        <v>0.12192546283997174</v>
      </c>
      <c r="G31" s="19">
        <f aca="true" t="shared" si="0" ref="G31:G37">G30-1</f>
        <v>2</v>
      </c>
      <c r="H31" s="19">
        <f aca="true" t="shared" si="1" ref="H31:H37">H30+1</f>
        <v>4</v>
      </c>
    </row>
    <row r="32" spans="1:8" ht="12.75">
      <c r="A32" t="s">
        <v>23</v>
      </c>
      <c r="C32">
        <f>(LN(C30/C31))/(2*LN(A25/A23))</f>
        <v>6.2147576304455985</v>
      </c>
      <c r="G32" s="19">
        <f t="shared" si="0"/>
        <v>1</v>
      </c>
      <c r="H32" s="19">
        <f t="shared" si="1"/>
        <v>5</v>
      </c>
    </row>
    <row r="33" spans="1:8" ht="12.75">
      <c r="A33" s="2" t="s">
        <v>24</v>
      </c>
      <c r="B33" s="2"/>
      <c r="C33" s="2">
        <f>INT(C32+1)</f>
        <v>7</v>
      </c>
      <c r="D33" s="2" t="s">
        <v>25</v>
      </c>
      <c r="E33" s="4" t="str">
        <f>IF(INT(C33/2)*2=C33,"Even","Odd")</f>
        <v>Odd</v>
      </c>
      <c r="G33" s="19">
        <f t="shared" si="0"/>
        <v>0</v>
      </c>
      <c r="H33" s="19">
        <f t="shared" si="1"/>
        <v>6</v>
      </c>
    </row>
    <row r="34" spans="1:8" ht="12.75">
      <c r="A34" t="s">
        <v>26</v>
      </c>
      <c r="C34">
        <f>A23/(EXP(LN(C31)/(2*C33)))</f>
        <v>4067.682198640479</v>
      </c>
      <c r="D34" t="s">
        <v>27</v>
      </c>
      <c r="G34" s="19">
        <f t="shared" si="0"/>
        <v>-1</v>
      </c>
      <c r="H34" s="19">
        <f t="shared" si="1"/>
        <v>7</v>
      </c>
    </row>
    <row r="35" spans="1:8" ht="12.75">
      <c r="A35" t="s">
        <v>28</v>
      </c>
      <c r="C35">
        <f>A25/(EXP(LN(C30)/(2*C33)))</f>
        <v>4321.215043545826</v>
      </c>
      <c r="D35" t="s">
        <v>27</v>
      </c>
      <c r="G35" s="19">
        <f t="shared" si="0"/>
        <v>-2</v>
      </c>
      <c r="H35" s="19">
        <f t="shared" si="1"/>
        <v>8</v>
      </c>
    </row>
    <row r="36" spans="1:8" ht="12.75">
      <c r="A36" s="2" t="s">
        <v>29</v>
      </c>
      <c r="B36" s="2"/>
      <c r="C36" s="2">
        <f>(C34+C35)/2</f>
        <v>4194.448621093153</v>
      </c>
      <c r="D36" s="2" t="s">
        <v>27</v>
      </c>
      <c r="G36" s="19">
        <f t="shared" si="0"/>
        <v>-3</v>
      </c>
      <c r="H36" s="19">
        <f t="shared" si="1"/>
        <v>9</v>
      </c>
    </row>
    <row r="37" spans="1:8" ht="12.75">
      <c r="A37" s="2"/>
      <c r="B37" s="2"/>
      <c r="C37" s="2">
        <f>2*PI()*C36</f>
        <v>26354.49794777217</v>
      </c>
      <c r="D37" s="2" t="s">
        <v>30</v>
      </c>
      <c r="G37" s="19">
        <f t="shared" si="0"/>
        <v>-4</v>
      </c>
      <c r="H37" s="19">
        <f t="shared" si="1"/>
        <v>10</v>
      </c>
    </row>
    <row r="38" spans="1:8" ht="12.75">
      <c r="A38" s="2"/>
      <c r="B38" s="2"/>
      <c r="F38" s="6"/>
      <c r="H38" s="7"/>
    </row>
    <row r="39" spans="1:7" ht="12.75">
      <c r="A39" s="5">
        <f>PI()/2</f>
        <v>1.5707963267948966</v>
      </c>
      <c r="B39" s="3" t="s">
        <v>31</v>
      </c>
      <c r="C39" s="20" t="s">
        <v>32</v>
      </c>
      <c r="D39" s="12"/>
      <c r="E39" s="21" t="s">
        <v>44</v>
      </c>
      <c r="G39" s="22" t="s">
        <v>45</v>
      </c>
    </row>
    <row r="40" spans="1:8" ht="12.75">
      <c r="A40" s="8" t="s">
        <v>33</v>
      </c>
      <c r="B40" s="2"/>
      <c r="C40" s="11" t="s">
        <v>34</v>
      </c>
      <c r="D40" s="11" t="s">
        <v>35</v>
      </c>
      <c r="E40" s="13" t="s">
        <v>36</v>
      </c>
      <c r="F40" s="13" t="s">
        <v>37</v>
      </c>
      <c r="G40" s="15" t="s">
        <v>38</v>
      </c>
      <c r="H40" s="15" t="s">
        <v>39</v>
      </c>
    </row>
    <row r="41" spans="1:8" ht="12.75">
      <c r="A41">
        <f aca="true" t="shared" si="2" ref="A41:A48">IF(G30&gt;=0,IF(G30&lt;$C$33,G30," ")," ")</f>
        <v>3</v>
      </c>
      <c r="B41" t="str">
        <f>IF(E33="Odd"," ",IF(H30&gt;=0,IF(H30&lt;$C$33,H30," ")," "))</f>
        <v> </v>
      </c>
      <c r="C41" s="9">
        <f aca="true" t="shared" si="3" ref="C41:C48">IF($A41=" "," ",$C$37*COS($A$39*(1+((2*$A41+1)/$C$33))))</f>
        <v>-26354.49794777217</v>
      </c>
      <c r="D41" s="9">
        <f>IF(E33="Odd",0,IF($A41=" "," ",$C$37*SIN($A$39*(1+((2*$A41+1)/$C$33)))))</f>
        <v>0</v>
      </c>
      <c r="E41" s="14">
        <f>IF($A41=" "," ",SQRT(C41*C41+D41*D41))</f>
        <v>26354.49794777217</v>
      </c>
      <c r="F41" s="25" t="str">
        <f>IF(E33="Odd"," ",IF($A41=" "," ",-C41/E41))</f>
        <v> </v>
      </c>
      <c r="G41" s="16">
        <f>IF($A41=" "," ",E41/(2*PI()))</f>
        <v>4194.448621093153</v>
      </c>
      <c r="H41" s="24" t="str">
        <f>IF(E33="Odd"," ",IF($A41=" "," ",1/(2*F41)))</f>
        <v> </v>
      </c>
    </row>
    <row r="42" spans="1:8" ht="12.75">
      <c r="A42">
        <f t="shared" si="2"/>
        <v>2</v>
      </c>
      <c r="B42">
        <f aca="true" t="shared" si="4" ref="B42:B48">IF(H31&gt;=0,IF(H31&lt;$C$33,H31," ")," ")</f>
        <v>4</v>
      </c>
      <c r="C42" s="9">
        <f t="shared" si="3"/>
        <v>-23744.58218014092</v>
      </c>
      <c r="D42" s="9">
        <f aca="true" t="shared" si="5" ref="D42:D48">IF($A42=" "," ",$C$37*SIN($A$39*(1+((2*$A42+1)/$C$33))))</f>
        <v>11434.788112145405</v>
      </c>
      <c r="E42" s="14">
        <f aca="true" t="shared" si="6" ref="E42:E48">IF($A42=" "," ",SQRT(C42*C42+D42*D42))</f>
        <v>26354.49794777217</v>
      </c>
      <c r="F42" s="25">
        <f aca="true" t="shared" si="7" ref="F42:F48">IF($A42=" "," ",-C42/E42)</f>
        <v>0.900968867902419</v>
      </c>
      <c r="G42" s="16">
        <f aca="true" t="shared" si="8" ref="G42:G48">IF($A42=" "," ",E42/(2*PI()))</f>
        <v>4194.448621093153</v>
      </c>
      <c r="H42" s="24">
        <f aca="true" t="shared" si="9" ref="H42:H48">IF($A42=" "," ",1/(2*F42))</f>
        <v>0.5549581320873712</v>
      </c>
    </row>
    <row r="43" spans="1:8" ht="12.75">
      <c r="A43">
        <f t="shared" si="2"/>
        <v>1</v>
      </c>
      <c r="B43">
        <f t="shared" si="4"/>
        <v>5</v>
      </c>
      <c r="C43" s="9">
        <f t="shared" si="3"/>
        <v>-16431.76070354287</v>
      </c>
      <c r="D43" s="9">
        <f t="shared" si="5"/>
        <v>20604.77620020737</v>
      </c>
      <c r="E43" s="14">
        <f t="shared" si="6"/>
        <v>26354.497947772175</v>
      </c>
      <c r="F43" s="25">
        <f t="shared" si="7"/>
        <v>0.6234898018587334</v>
      </c>
      <c r="G43" s="16">
        <f t="shared" si="8"/>
        <v>4194.448621093153</v>
      </c>
      <c r="H43" s="24">
        <f t="shared" si="9"/>
        <v>0.8019377358048384</v>
      </c>
    </row>
    <row r="44" spans="1:8" ht="12.75">
      <c r="A44">
        <f t="shared" si="2"/>
        <v>0</v>
      </c>
      <c r="B44">
        <f t="shared" si="4"/>
        <v>6</v>
      </c>
      <c r="C44" s="12">
        <f t="shared" si="3"/>
        <v>-5864.427497288033</v>
      </c>
      <c r="D44" s="12">
        <f t="shared" si="5"/>
        <v>25693.73566082168</v>
      </c>
      <c r="E44" s="14">
        <f t="shared" si="6"/>
        <v>26354.49794777217</v>
      </c>
      <c r="F44" s="25">
        <f t="shared" si="7"/>
        <v>0.22252093395631434</v>
      </c>
      <c r="G44" s="16">
        <f t="shared" si="8"/>
        <v>4194.448621093153</v>
      </c>
      <c r="H44" s="24">
        <f t="shared" si="9"/>
        <v>2.2469796037174676</v>
      </c>
    </row>
    <row r="45" spans="1:8" ht="12.75">
      <c r="A45" t="str">
        <f t="shared" si="2"/>
        <v> </v>
      </c>
      <c r="B45" t="str">
        <f t="shared" si="4"/>
        <v> </v>
      </c>
      <c r="C45" s="12" t="str">
        <f t="shared" si="3"/>
        <v> </v>
      </c>
      <c r="D45" s="12" t="str">
        <f t="shared" si="5"/>
        <v> </v>
      </c>
      <c r="E45" s="14" t="str">
        <f t="shared" si="6"/>
        <v> </v>
      </c>
      <c r="F45" s="25" t="str">
        <f t="shared" si="7"/>
        <v> </v>
      </c>
      <c r="G45" s="16" t="str">
        <f t="shared" si="8"/>
        <v> </v>
      </c>
      <c r="H45" s="24" t="str">
        <f t="shared" si="9"/>
        <v> </v>
      </c>
    </row>
    <row r="46" spans="1:8" ht="12.75">
      <c r="A46" t="str">
        <f t="shared" si="2"/>
        <v> </v>
      </c>
      <c r="B46" t="str">
        <f t="shared" si="4"/>
        <v> </v>
      </c>
      <c r="C46" s="12" t="str">
        <f t="shared" si="3"/>
        <v> </v>
      </c>
      <c r="D46" s="12" t="str">
        <f t="shared" si="5"/>
        <v> </v>
      </c>
      <c r="E46" s="14" t="str">
        <f t="shared" si="6"/>
        <v> </v>
      </c>
      <c r="F46" s="25" t="str">
        <f t="shared" si="7"/>
        <v> </v>
      </c>
      <c r="G46" s="16" t="str">
        <f t="shared" si="8"/>
        <v> </v>
      </c>
      <c r="H46" s="24" t="str">
        <f t="shared" si="9"/>
        <v> </v>
      </c>
    </row>
    <row r="47" spans="1:8" ht="12.75">
      <c r="A47" t="str">
        <f t="shared" si="2"/>
        <v> </v>
      </c>
      <c r="B47" t="str">
        <f t="shared" si="4"/>
        <v> </v>
      </c>
      <c r="C47" s="12" t="str">
        <f t="shared" si="3"/>
        <v> </v>
      </c>
      <c r="D47" s="12" t="str">
        <f t="shared" si="5"/>
        <v> </v>
      </c>
      <c r="E47" s="14" t="str">
        <f t="shared" si="6"/>
        <v> </v>
      </c>
      <c r="F47" s="25" t="str">
        <f t="shared" si="7"/>
        <v> </v>
      </c>
      <c r="G47" s="16" t="str">
        <f t="shared" si="8"/>
        <v> </v>
      </c>
      <c r="H47" s="24" t="str">
        <f t="shared" si="9"/>
        <v> </v>
      </c>
    </row>
    <row r="48" spans="1:8" ht="12.75">
      <c r="A48" t="str">
        <f t="shared" si="2"/>
        <v> </v>
      </c>
      <c r="B48" t="str">
        <f t="shared" si="4"/>
        <v> </v>
      </c>
      <c r="C48" s="12" t="str">
        <f t="shared" si="3"/>
        <v> </v>
      </c>
      <c r="D48" s="12" t="str">
        <f t="shared" si="5"/>
        <v> </v>
      </c>
      <c r="E48" s="14" t="str">
        <f t="shared" si="6"/>
        <v> </v>
      </c>
      <c r="F48" s="25" t="str">
        <f t="shared" si="7"/>
        <v> </v>
      </c>
      <c r="G48" s="16" t="str">
        <f t="shared" si="8"/>
        <v> </v>
      </c>
      <c r="H48" s="24" t="str">
        <f t="shared" si="9"/>
        <v> </v>
      </c>
    </row>
    <row r="49" spans="1:8" ht="12.75">
      <c r="A49" s="23" t="str">
        <f>IF(C33&gt;16,"Number of poles exceeds design limit of 16.  Above data is incomplete."," ")</f>
        <v> </v>
      </c>
      <c r="E49" s="14"/>
      <c r="F49" s="14"/>
      <c r="G49" s="16"/>
      <c r="H49" s="16"/>
    </row>
    <row r="50" ht="12.75">
      <c r="A50" s="9"/>
    </row>
    <row r="51" ht="12.75">
      <c r="A51" s="9"/>
    </row>
    <row r="52" ht="12.75">
      <c r="A52" s="9"/>
    </row>
    <row r="53" ht="12.75">
      <c r="A53" s="2" t="s">
        <v>40</v>
      </c>
    </row>
    <row r="54" spans="1:8" ht="12.75">
      <c r="A54" t="s">
        <v>19</v>
      </c>
      <c r="G54" s="17" t="s">
        <v>20</v>
      </c>
      <c r="H54" s="18"/>
    </row>
    <row r="55" spans="1:8" ht="12.75">
      <c r="A55" t="s">
        <v>21</v>
      </c>
      <c r="C55">
        <f>1/($A$26*$A$26)-1</f>
        <v>98.99999999999999</v>
      </c>
      <c r="G55" s="19">
        <f>IF(E59="Odd",INT(C59/2),C59/2-1)</f>
        <v>1</v>
      </c>
      <c r="H55" s="19">
        <f>IF(E59="Odd",G55,G55+1)</f>
        <v>2</v>
      </c>
    </row>
    <row r="56" spans="1:8" ht="12.75">
      <c r="A56" t="s">
        <v>22</v>
      </c>
      <c r="C56">
        <f>1/($A$24*$A$24)-1</f>
        <v>0.12192546283997174</v>
      </c>
      <c r="G56" s="19">
        <f aca="true" t="shared" si="10" ref="G56:G62">G55-1</f>
        <v>0</v>
      </c>
      <c r="H56" s="19">
        <f aca="true" t="shared" si="11" ref="H56:H62">H55+1</f>
        <v>3</v>
      </c>
    </row>
    <row r="57" spans="1:8" ht="12.75">
      <c r="A57" t="s">
        <v>41</v>
      </c>
      <c r="C57">
        <f>SQRT(C56)</f>
        <v>0.34917826799497664</v>
      </c>
      <c r="G57" s="19">
        <f t="shared" si="10"/>
        <v>-1</v>
      </c>
      <c r="H57" s="19">
        <f t="shared" si="11"/>
        <v>4</v>
      </c>
    </row>
    <row r="58" spans="1:8" ht="12.75">
      <c r="A58" t="s">
        <v>23</v>
      </c>
      <c r="C58">
        <f>ACOSH(SQRT(C55)/C57)/ACOSH(A25/A23)</f>
        <v>3.5662737511864675</v>
      </c>
      <c r="G58" s="19">
        <f t="shared" si="10"/>
        <v>-2</v>
      </c>
      <c r="H58" s="19">
        <f t="shared" si="11"/>
        <v>5</v>
      </c>
    </row>
    <row r="59" spans="1:8" ht="12.75">
      <c r="A59" s="2" t="s">
        <v>24</v>
      </c>
      <c r="B59" s="2"/>
      <c r="C59" s="2">
        <f>INT(C58+1)</f>
        <v>4</v>
      </c>
      <c r="D59" s="2" t="s">
        <v>25</v>
      </c>
      <c r="E59" s="4" t="str">
        <f>IF(INT(C59/2)*2=C59,"Even","Odd")</f>
        <v>Even</v>
      </c>
      <c r="G59" s="19">
        <f t="shared" si="10"/>
        <v>-3</v>
      </c>
      <c r="H59" s="19">
        <f t="shared" si="11"/>
        <v>6</v>
      </c>
    </row>
    <row r="60" spans="1:8" ht="12.75">
      <c r="A60" s="2" t="s">
        <v>42</v>
      </c>
      <c r="B60" s="2"/>
      <c r="C60" s="2">
        <f>A23</f>
        <v>3500</v>
      </c>
      <c r="D60" s="2" t="s">
        <v>27</v>
      </c>
      <c r="G60" s="19">
        <f t="shared" si="10"/>
        <v>-4</v>
      </c>
      <c r="H60" s="19">
        <f t="shared" si="11"/>
        <v>7</v>
      </c>
    </row>
    <row r="61" spans="1:8" ht="12.75">
      <c r="A61" s="2"/>
      <c r="B61" s="2"/>
      <c r="C61" s="2">
        <f>2*PI()*C60</f>
        <v>21991.14857512855</v>
      </c>
      <c r="D61" s="2" t="s">
        <v>30</v>
      </c>
      <c r="G61" s="19">
        <f t="shared" si="10"/>
        <v>-5</v>
      </c>
      <c r="H61" s="19">
        <f t="shared" si="11"/>
        <v>8</v>
      </c>
    </row>
    <row r="62" spans="7:8" ht="12.75">
      <c r="G62" s="19">
        <f t="shared" si="10"/>
        <v>-6</v>
      </c>
      <c r="H62" s="19">
        <f t="shared" si="11"/>
        <v>9</v>
      </c>
    </row>
    <row r="63" spans="1:4" ht="12.75">
      <c r="A63" s="5">
        <f>(1/C59)*ASINH(1/C57)</f>
        <v>0.4436237554831927</v>
      </c>
      <c r="B63" s="10" t="s">
        <v>43</v>
      </c>
      <c r="D63" s="2"/>
    </row>
    <row r="64" spans="1:7" ht="12.75">
      <c r="A64" s="5">
        <f>PI()/2</f>
        <v>1.5707963267948966</v>
      </c>
      <c r="B64" s="3" t="s">
        <v>31</v>
      </c>
      <c r="C64" s="20" t="s">
        <v>32</v>
      </c>
      <c r="E64" s="21" t="s">
        <v>44</v>
      </c>
      <c r="G64" s="22" t="s">
        <v>45</v>
      </c>
    </row>
    <row r="65" spans="1:8" ht="12.75">
      <c r="A65" s="8" t="s">
        <v>33</v>
      </c>
      <c r="B65" s="2"/>
      <c r="C65" s="11" t="s">
        <v>34</v>
      </c>
      <c r="D65" s="11" t="s">
        <v>35</v>
      </c>
      <c r="E65" s="13" t="s">
        <v>36</v>
      </c>
      <c r="F65" s="13" t="s">
        <v>37</v>
      </c>
      <c r="G65" s="15" t="s">
        <v>38</v>
      </c>
      <c r="H65" s="15" t="s">
        <v>39</v>
      </c>
    </row>
    <row r="66" spans="1:8" ht="12.75">
      <c r="A66">
        <f aca="true" t="shared" si="12" ref="A66:A73">IF(G55&gt;=0,IF(G55&lt;$C$59,G55," ")," ")</f>
        <v>1</v>
      </c>
      <c r="B66">
        <f>IF(E59="Odd"," ",IF(H55&gt;=0,IF(H55&lt;$C$59,H55," ")," "))</f>
        <v>2</v>
      </c>
      <c r="C66" s="9">
        <f>IF($A66=" "," ",$C$61*COS($A$64*(1+(2*A66+1)/$C$59))*SINH($A$63))</f>
        <v>-9311.738291755397</v>
      </c>
      <c r="D66" s="9">
        <f>IF(E59="Odd",0,IF($A66=" "," ",$C$61*SIN($A$64*(1+(2*A66+1)/$C$59))*COSH($A$63)))</f>
        <v>9257.427096376303</v>
      </c>
      <c r="E66" s="14">
        <f>IF($A66=" "," ",SQRT(C66*C66+D66*D66))</f>
        <v>13130.438928644613</v>
      </c>
      <c r="F66" s="25">
        <f>IF(E59="Odd"," ",IF($A66=" "," ",-C66/E66))</f>
        <v>0.7091718976310413</v>
      </c>
      <c r="G66" s="16">
        <f>IF($A66=" "," ",E66/(2*PI()))</f>
        <v>2089.7742604600408</v>
      </c>
      <c r="H66" s="24">
        <f>IF(E59="Odd"," ",IF($A66=" "," ",1/(2*F66)))</f>
        <v>0.7050476783840827</v>
      </c>
    </row>
    <row r="67" spans="1:8" ht="12.75">
      <c r="A67">
        <f t="shared" si="12"/>
        <v>0</v>
      </c>
      <c r="B67">
        <f aca="true" t="shared" si="13" ref="B67:B73">IF(H56&gt;=0,IF(H56&lt;$C$59,H56," ")," ")</f>
        <v>3</v>
      </c>
      <c r="C67" s="9">
        <f aca="true" t="shared" si="14" ref="C67:C73">IF($A67=" "," ",$C$61*COS($A$64*(1+(2*A67+1)/$C$59))*SINH($A$63))</f>
        <v>-3857.048289713962</v>
      </c>
      <c r="D67" s="9">
        <f aca="true" t="shared" si="15" ref="D67:D73">IF($A67=" "," ",$C$61*SIN($A$64*(1+(2*A67+1)/$C$59))*COSH($A$63))</f>
        <v>22349.406048751844</v>
      </c>
      <c r="E67" s="14">
        <f aca="true" t="shared" si="16" ref="E67:E73">IF($A67=" "," ",SQRT(C67*C67+D67*D67))</f>
        <v>22679.78774682803</v>
      </c>
      <c r="F67" s="25">
        <f aca="true" t="shared" si="17" ref="F67:F73">IF($A67=" "," ",-C67/E67)</f>
        <v>0.1700654491466043</v>
      </c>
      <c r="G67" s="16">
        <f aca="true" t="shared" si="18" ref="G67:G73">IF($A67=" "," ",E67/(2*PI()))</f>
        <v>3609.6003281826806</v>
      </c>
      <c r="H67" s="24">
        <f aca="true" t="shared" si="19" ref="H67:H73">IF($A67=" "," ",1/(2*F67))</f>
        <v>2.940044568188432</v>
      </c>
    </row>
    <row r="68" spans="1:8" ht="12.75">
      <c r="A68" t="str">
        <f t="shared" si="12"/>
        <v> </v>
      </c>
      <c r="B68" t="str">
        <f t="shared" si="13"/>
        <v> </v>
      </c>
      <c r="C68" s="9" t="str">
        <f t="shared" si="14"/>
        <v> </v>
      </c>
      <c r="D68" s="9" t="str">
        <f t="shared" si="15"/>
        <v> </v>
      </c>
      <c r="E68" s="14" t="str">
        <f t="shared" si="16"/>
        <v> </v>
      </c>
      <c r="F68" s="25" t="str">
        <f t="shared" si="17"/>
        <v> </v>
      </c>
      <c r="G68" s="16" t="str">
        <f t="shared" si="18"/>
        <v> </v>
      </c>
      <c r="H68" s="24" t="str">
        <f t="shared" si="19"/>
        <v> </v>
      </c>
    </row>
    <row r="69" spans="1:8" ht="12.75">
      <c r="A69" t="str">
        <f t="shared" si="12"/>
        <v> </v>
      </c>
      <c r="B69" t="str">
        <f t="shared" si="13"/>
        <v> </v>
      </c>
      <c r="C69" s="9" t="str">
        <f t="shared" si="14"/>
        <v> </v>
      </c>
      <c r="D69" s="9" t="str">
        <f t="shared" si="15"/>
        <v> </v>
      </c>
      <c r="E69" s="14" t="str">
        <f t="shared" si="16"/>
        <v> </v>
      </c>
      <c r="F69" s="25" t="str">
        <f t="shared" si="17"/>
        <v> </v>
      </c>
      <c r="G69" s="16" t="str">
        <f t="shared" si="18"/>
        <v> </v>
      </c>
      <c r="H69" s="24" t="str">
        <f t="shared" si="19"/>
        <v> </v>
      </c>
    </row>
    <row r="70" spans="1:8" ht="12.75">
      <c r="A70" t="str">
        <f t="shared" si="12"/>
        <v> </v>
      </c>
      <c r="B70" t="str">
        <f t="shared" si="13"/>
        <v> </v>
      </c>
      <c r="C70" s="9" t="str">
        <f t="shared" si="14"/>
        <v> </v>
      </c>
      <c r="D70" s="9" t="str">
        <f t="shared" si="15"/>
        <v> </v>
      </c>
      <c r="E70" s="14" t="str">
        <f t="shared" si="16"/>
        <v> </v>
      </c>
      <c r="F70" s="25" t="str">
        <f t="shared" si="17"/>
        <v> </v>
      </c>
      <c r="G70" s="16" t="str">
        <f t="shared" si="18"/>
        <v> </v>
      </c>
      <c r="H70" s="24" t="str">
        <f t="shared" si="19"/>
        <v> </v>
      </c>
    </row>
    <row r="71" spans="1:8" ht="12.75">
      <c r="A71" t="str">
        <f t="shared" si="12"/>
        <v> </v>
      </c>
      <c r="B71" t="str">
        <f t="shared" si="13"/>
        <v> </v>
      </c>
      <c r="C71" s="9" t="str">
        <f t="shared" si="14"/>
        <v> </v>
      </c>
      <c r="D71" s="9" t="str">
        <f t="shared" si="15"/>
        <v> </v>
      </c>
      <c r="E71" s="14" t="str">
        <f t="shared" si="16"/>
        <v> </v>
      </c>
      <c r="F71" s="25" t="str">
        <f t="shared" si="17"/>
        <v> </v>
      </c>
      <c r="G71" s="16" t="str">
        <f t="shared" si="18"/>
        <v> </v>
      </c>
      <c r="H71" s="24" t="str">
        <f t="shared" si="19"/>
        <v> </v>
      </c>
    </row>
    <row r="72" spans="1:8" ht="12.75">
      <c r="A72" t="str">
        <f t="shared" si="12"/>
        <v> </v>
      </c>
      <c r="B72" t="str">
        <f t="shared" si="13"/>
        <v> </v>
      </c>
      <c r="C72" s="9" t="str">
        <f t="shared" si="14"/>
        <v> </v>
      </c>
      <c r="D72" s="9" t="str">
        <f t="shared" si="15"/>
        <v> </v>
      </c>
      <c r="E72" s="14" t="str">
        <f t="shared" si="16"/>
        <v> </v>
      </c>
      <c r="F72" s="25" t="str">
        <f t="shared" si="17"/>
        <v> </v>
      </c>
      <c r="G72" s="16" t="str">
        <f t="shared" si="18"/>
        <v> </v>
      </c>
      <c r="H72" s="24" t="str">
        <f t="shared" si="19"/>
        <v> </v>
      </c>
    </row>
    <row r="73" spans="1:8" ht="12.75">
      <c r="A73" t="str">
        <f t="shared" si="12"/>
        <v> </v>
      </c>
      <c r="B73" t="str">
        <f t="shared" si="13"/>
        <v> </v>
      </c>
      <c r="C73" s="9" t="str">
        <f t="shared" si="14"/>
        <v> </v>
      </c>
      <c r="D73" s="9" t="str">
        <f t="shared" si="15"/>
        <v> </v>
      </c>
      <c r="E73" s="14" t="str">
        <f t="shared" si="16"/>
        <v> </v>
      </c>
      <c r="F73" s="25" t="str">
        <f t="shared" si="17"/>
        <v> </v>
      </c>
      <c r="G73" s="16" t="str">
        <f t="shared" si="18"/>
        <v> </v>
      </c>
      <c r="H73" s="24" t="str">
        <f t="shared" si="19"/>
        <v> </v>
      </c>
    </row>
    <row r="74" spans="1:6" ht="12.75">
      <c r="A74" s="23" t="str">
        <f>IF(C59&gt;16,"Number of poles exceeds design limit of 16.  Above data is incomplete."," ")</f>
        <v> </v>
      </c>
      <c r="F74" s="25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A. Kuhn</dc:creator>
  <cp:keywords/>
  <dc:description/>
  <cp:lastModifiedBy>Kenneth Kuhn</cp:lastModifiedBy>
  <cp:lastPrinted>2008-01-01T19:34:47Z</cp:lastPrinted>
  <dcterms:created xsi:type="dcterms:W3CDTF">1998-01-24T01:22:25Z</dcterms:created>
  <dcterms:modified xsi:type="dcterms:W3CDTF">2015-04-15T14:57:54Z</dcterms:modified>
  <cp:category/>
  <cp:version/>
  <cp:contentType/>
  <cp:contentStatus/>
</cp:coreProperties>
</file>