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1280" windowHeight="616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/>
</workbook>
</file>

<file path=xl/calcChain.xml><?xml version="1.0" encoding="utf-8"?>
<calcChain xmlns="http://schemas.openxmlformats.org/spreadsheetml/2006/main">
  <c r="C50" i="1" l="1"/>
  <c r="C22" i="1"/>
  <c r="D22" i="1" s="1"/>
  <c r="D13" i="1"/>
  <c r="B13" i="1"/>
  <c r="D16" i="1"/>
  <c r="B40" i="1" l="1"/>
  <c r="E10" i="1"/>
  <c r="F50" i="1"/>
  <c r="I50" i="1" s="1"/>
  <c r="F51" i="1"/>
  <c r="B25" i="1"/>
  <c r="F28" i="1"/>
  <c r="B26" i="1"/>
  <c r="E22" i="1"/>
  <c r="F29" i="1"/>
  <c r="B50" i="1" l="1"/>
  <c r="B51" i="1"/>
  <c r="B29" i="1"/>
  <c r="B28" i="1"/>
  <c r="C29" i="1"/>
  <c r="C51" i="1" s="1"/>
  <c r="A29" i="1"/>
  <c r="A51" i="1" s="1"/>
  <c r="A28" i="1"/>
  <c r="A50" i="1" s="1"/>
  <c r="H36" i="1"/>
  <c r="H38" i="1" s="1"/>
  <c r="I51" i="1"/>
  <c r="I29" i="1"/>
  <c r="D40" i="1"/>
  <c r="G40" i="1" s="1"/>
  <c r="F41" i="1"/>
  <c r="I28" i="1"/>
  <c r="G32" i="1" s="1"/>
  <c r="H33" i="1" s="1"/>
  <c r="H46" i="1" l="1"/>
  <c r="H43" i="1"/>
</calcChain>
</file>

<file path=xl/sharedStrings.xml><?xml version="1.0" encoding="utf-8"?>
<sst xmlns="http://schemas.openxmlformats.org/spreadsheetml/2006/main" count="76" uniqueCount="65">
  <si>
    <t>Spreadsheet to compute component values for Sallen-Key low-pass filter section</t>
  </si>
  <si>
    <t>Written by Kenneth A. Kuhn</t>
  </si>
  <si>
    <t>This spreadsheet guides the user through a design of a second-order Sallen-Key low-pass</t>
  </si>
  <si>
    <t>filter section.  Since capacitor values are less available than resistor values the spreadsheet</t>
  </si>
  <si>
    <t>guides the user in selecting available values.  Then the appropriate resistor values are computed.</t>
  </si>
  <si>
    <t>A key feature of this spreadsheet is that the component values end up being near broad optimums.</t>
  </si>
  <si>
    <t xml:space="preserve">   +---</t>
  </si>
  <si>
    <t>-------</t>
  </si>
  <si>
    <t>--C1---</t>
  </si>
  <si>
    <t>---+</t>
  </si>
  <si>
    <t xml:space="preserve">   |</t>
  </si>
  <si>
    <t>Input</t>
  </si>
  <si>
    <t>---*---</t>
  </si>
  <si>
    <t>--R2---</t>
  </si>
  <si>
    <t>Gain=1</t>
  </si>
  <si>
    <t>Output</t>
  </si>
  <si>
    <t>(Amplifier)</t>
  </si>
  <si>
    <t xml:space="preserve">  C2</t>
  </si>
  <si>
    <t xml:space="preserve">  Gnd</t>
  </si>
  <si>
    <t>Step 1: Enter 1, 2, or 3 for the desired input mode as described below:</t>
  </si>
  <si>
    <t>Mode 1 is for pole locations in the s-plane, 2 is for wn, zeta, 3 is for Frequency, Q.</t>
  </si>
  <si>
    <t>= mode</t>
  </si>
  <si>
    <t>Step 2: Enter the data in the format specified in step 1</t>
  </si>
  <si>
    <t>Step 3: For reference, display input in all three forms</t>
  </si>
  <si>
    <t>nepers/second</t>
  </si>
  <si>
    <t>wn (rad/s) =</t>
  </si>
  <si>
    <t>Fn (Hz) =</t>
  </si>
  <si>
    <t>zeta =</t>
  </si>
  <si>
    <t>Q =</t>
  </si>
  <si>
    <t>Note: the circuit becomes very impractical if Q is greater than about 15.</t>
  </si>
  <si>
    <t xml:space="preserve">Step 4:  Determine nominal range of component values </t>
  </si>
  <si>
    <t>F, C1</t>
  </si>
  <si>
    <t>Step 6: Compute the maximum possible capacitance for C2</t>
  </si>
  <si>
    <t>(z^2 * C1)</t>
  </si>
  <si>
    <t>Step 7: Round C2 Max down to a standard value</t>
  </si>
  <si>
    <t>F, C2</t>
  </si>
  <si>
    <t>Step 8: Calculate the ratio, k = R2/R1</t>
  </si>
  <si>
    <t>z^2 =</t>
  </si>
  <si>
    <t>Step 9: Calculate the value of R1*R2</t>
  </si>
  <si>
    <t>Ohms^2</t>
  </si>
  <si>
    <t>Step 11: Round the value of R1 above to a nearby standard value</t>
  </si>
  <si>
    <t>Ohms, R1</t>
  </si>
  <si>
    <t>Step 13: Round the value of R2 to the closest standard value</t>
  </si>
  <si>
    <t>Ohms, R2</t>
  </si>
  <si>
    <t>Step 14: Analyze the design to make sure it meets the given specifications</t>
  </si>
  <si>
    <t>Farads, Nominal C1 capacitance:</t>
  </si>
  <si>
    <t>F,C1 nom</t>
  </si>
  <si>
    <t>R1*R2 =</t>
  </si>
  <si>
    <t>The above values should be in close agreement with those in Step 3</t>
  </si>
  <si>
    <t>---*--&gt;</t>
  </si>
  <si>
    <t>&gt;--*--&gt;</t>
  </si>
  <si>
    <t>&gt;--R1--</t>
  </si>
  <si>
    <t>Step 10: Calculate raw value of R1</t>
  </si>
  <si>
    <t>Step 12: Calculate raw value of R2</t>
  </si>
  <si>
    <t>Note: Do not round down to more than about 6 standard values away</t>
  </si>
  <si>
    <t>sallen_key_design.xlsx</t>
  </si>
  <si>
    <t>Version 1.4, March 8, 2013</t>
  </si>
  <si>
    <t>(C2/C1) =</t>
  </si>
  <si>
    <t>F, C2 Max</t>
  </si>
  <si>
    <t>Ohms raw</t>
  </si>
  <si>
    <t>Cmean = 4E-7/sqrt(Fn) =</t>
  </si>
  <si>
    <t>(R2/R1)=</t>
  </si>
  <si>
    <t>Step 5: Round up the nominal C1 capacitance to a standard value</t>
  </si>
  <si>
    <t>Note: Do not round up more than about 6 standard values away</t>
  </si>
  <si>
    <t>This spreadsheet is designed to print out on one page.  User input cells are in bold 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</si>
</sst>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#0.00E+0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ourier"/>
      <family val="3"/>
    </font>
    <font>
      <u/>
      <sz val="8"/>
      <name val="Arial"/>
      <family val="2"/>
    </font>
    <font>
      <b/>
      <i/>
      <u/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b/>
      <u/>
      <sz val="10"/>
      <color rgb="FF00B050"/>
      <name val="Arial"/>
      <family val="2"/>
    </font>
    <font>
      <b/>
      <sz val="10"/>
      <name val="Arial"/>
      <family val="2"/>
    </font>
    <font>
      <sz val="10"/>
      <color theme="7"/>
      <name val="Arial"/>
      <family val="2"/>
    </font>
    <font>
      <sz val="10"/>
      <color rgb="FF0070C0"/>
      <name val="Arial"/>
      <family val="2"/>
    </font>
    <font>
      <b/>
      <u/>
      <sz val="10"/>
      <color rgb="FF0070C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quotePrefix="1"/>
    <xf numFmtId="48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quotePrefix="1" applyFont="1"/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2" borderId="0" xfId="0" applyFont="1" applyFill="1" applyProtection="1">
      <protection locked="0"/>
    </xf>
    <xf numFmtId="48" fontId="6" fillId="2" borderId="0" xfId="0" applyNumberFormat="1" applyFont="1" applyFill="1" applyProtection="1">
      <protection locked="0"/>
    </xf>
    <xf numFmtId="0" fontId="11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0" fontId="12" fillId="0" borderId="0" xfId="0" quotePrefix="1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quotePrefix="1" applyFont="1" applyAlignment="1">
      <alignment horizontal="right"/>
    </xf>
    <xf numFmtId="0" fontId="13" fillId="0" borderId="0" xfId="0" applyFont="1" applyAlignment="1">
      <alignment horizontal="left"/>
    </xf>
    <xf numFmtId="164" fontId="13" fillId="0" borderId="0" xfId="0" applyNumberFormat="1" applyFont="1" applyAlignment="1">
      <alignment horizontal="left"/>
    </xf>
    <xf numFmtId="48" fontId="0" fillId="0" borderId="0" xfId="0" applyNumberFormat="1" applyAlignment="1">
      <alignment horizontal="left"/>
    </xf>
    <xf numFmtId="0" fontId="2" fillId="0" borderId="0" xfId="0" applyFont="1" applyAlignment="1">
      <alignment horizontal="right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5" fillId="3" borderId="0" xfId="0" applyFont="1" applyFill="1"/>
    <xf numFmtId="48" fontId="6" fillId="3" borderId="0" xfId="0" applyNumberFormat="1" applyFont="1" applyFill="1"/>
    <xf numFmtId="0" fontId="0" fillId="3" borderId="0" xfId="0" applyFill="1"/>
    <xf numFmtId="0" fontId="15" fillId="3" borderId="0" xfId="0" applyFont="1" applyFill="1"/>
    <xf numFmtId="48" fontId="6" fillId="3" borderId="0" xfId="0" applyNumberFormat="1" applyFont="1" applyFill="1" applyProtection="1">
      <protection locked="0"/>
    </xf>
    <xf numFmtId="165" fontId="10" fillId="0" borderId="0" xfId="0" applyNumberFormat="1" applyFont="1" applyAlignment="1">
      <alignment horizontal="right"/>
    </xf>
    <xf numFmtId="165" fontId="6" fillId="2" borderId="0" xfId="0" applyNumberFormat="1" applyFont="1" applyFill="1" applyProtection="1">
      <protection locked="0"/>
    </xf>
    <xf numFmtId="165" fontId="1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16" zoomScale="110" zoomScaleNormal="110" workbookViewId="0">
      <selection activeCell="H48" sqref="H48"/>
    </sheetView>
  </sheetViews>
  <sheetFormatPr defaultRowHeight="12.75" x14ac:dyDescent="0.2"/>
  <cols>
    <col min="1" max="1" width="9.5703125" bestFit="1" customWidth="1"/>
    <col min="8" max="8" width="10.42578125" customWidth="1"/>
    <col min="11" max="11" width="9.140625" customWidth="1"/>
  </cols>
  <sheetData>
    <row r="1" spans="1:8" x14ac:dyDescent="0.2">
      <c r="A1" s="1" t="s">
        <v>0</v>
      </c>
    </row>
    <row r="2" spans="1:8" x14ac:dyDescent="0.2">
      <c r="A2" s="16" t="s">
        <v>55</v>
      </c>
      <c r="D2" s="1" t="s">
        <v>1</v>
      </c>
      <c r="G2" s="16" t="s">
        <v>56</v>
      </c>
    </row>
    <row r="4" spans="1:8" x14ac:dyDescent="0.2">
      <c r="A4" t="s">
        <v>2</v>
      </c>
    </row>
    <row r="5" spans="1:8" x14ac:dyDescent="0.2">
      <c r="A5" t="s">
        <v>3</v>
      </c>
    </row>
    <row r="6" spans="1:8" x14ac:dyDescent="0.2">
      <c r="A6" t="s">
        <v>4</v>
      </c>
    </row>
    <row r="7" spans="1:8" x14ac:dyDescent="0.2">
      <c r="A7" t="s">
        <v>5</v>
      </c>
    </row>
    <row r="8" spans="1:8" x14ac:dyDescent="0.2">
      <c r="A8" s="10" t="s">
        <v>64</v>
      </c>
    </row>
    <row r="10" spans="1:8" x14ac:dyDescent="0.2">
      <c r="A10" s="5"/>
      <c r="B10" s="5"/>
      <c r="C10" s="5"/>
      <c r="D10" s="5"/>
      <c r="E10" s="36">
        <f>H34</f>
        <v>9.9999999999999995E-8</v>
      </c>
      <c r="F10" s="5"/>
      <c r="G10" s="5"/>
      <c r="H10" s="5"/>
    </row>
    <row r="11" spans="1:8" x14ac:dyDescent="0.2">
      <c r="A11" s="6"/>
      <c r="B11" s="6"/>
      <c r="C11" s="7" t="s">
        <v>6</v>
      </c>
      <c r="D11" s="7" t="s">
        <v>7</v>
      </c>
      <c r="E11" s="7" t="s">
        <v>8</v>
      </c>
      <c r="F11" s="7" t="s">
        <v>7</v>
      </c>
      <c r="G11" s="7" t="s">
        <v>9</v>
      </c>
      <c r="H11" s="5"/>
    </row>
    <row r="12" spans="1:8" x14ac:dyDescent="0.2">
      <c r="A12" s="6"/>
      <c r="B12" s="6"/>
      <c r="C12" s="7" t="s">
        <v>10</v>
      </c>
      <c r="D12" s="7"/>
      <c r="E12" s="7"/>
      <c r="F12" s="7"/>
      <c r="G12" s="7" t="s">
        <v>10</v>
      </c>
      <c r="H12" s="5"/>
    </row>
    <row r="13" spans="1:8" x14ac:dyDescent="0.2">
      <c r="A13" s="6"/>
      <c r="B13" s="36">
        <f>H44</f>
        <v>11500</v>
      </c>
      <c r="C13" s="7" t="s">
        <v>10</v>
      </c>
      <c r="D13" s="36">
        <f>H47</f>
        <v>26100</v>
      </c>
      <c r="E13" s="7"/>
      <c r="F13" s="7"/>
      <c r="G13" s="7" t="s">
        <v>10</v>
      </c>
      <c r="H13" s="5"/>
    </row>
    <row r="14" spans="1:8" x14ac:dyDescent="0.2">
      <c r="A14" s="8" t="s">
        <v>11</v>
      </c>
      <c r="B14" s="7" t="s">
        <v>51</v>
      </c>
      <c r="C14" s="7" t="s">
        <v>12</v>
      </c>
      <c r="D14" s="7" t="s">
        <v>13</v>
      </c>
      <c r="E14" s="7" t="s">
        <v>49</v>
      </c>
      <c r="F14" s="7" t="s">
        <v>14</v>
      </c>
      <c r="G14" s="7" t="s">
        <v>50</v>
      </c>
      <c r="H14" s="7" t="s">
        <v>15</v>
      </c>
    </row>
    <row r="15" spans="1:8" x14ac:dyDescent="0.2">
      <c r="A15" s="6"/>
      <c r="B15" s="6"/>
      <c r="C15" s="6"/>
      <c r="D15" s="6"/>
      <c r="E15" s="7" t="s">
        <v>10</v>
      </c>
      <c r="F15" s="6" t="s">
        <v>16</v>
      </c>
      <c r="G15" s="6"/>
      <c r="H15" s="5"/>
    </row>
    <row r="16" spans="1:8" x14ac:dyDescent="0.2">
      <c r="A16" s="6"/>
      <c r="B16" s="6"/>
      <c r="C16" s="6"/>
      <c r="D16" s="36">
        <f>H37</f>
        <v>3.2999999999999998E-8</v>
      </c>
      <c r="E16" s="7" t="s">
        <v>17</v>
      </c>
      <c r="F16" s="6"/>
      <c r="G16" s="6"/>
      <c r="H16" s="5"/>
    </row>
    <row r="17" spans="1:9" x14ac:dyDescent="0.2">
      <c r="A17" s="6"/>
      <c r="B17" s="6"/>
      <c r="C17" s="6"/>
      <c r="D17" s="6"/>
      <c r="E17" s="7" t="s">
        <v>10</v>
      </c>
      <c r="F17" s="6"/>
      <c r="G17" s="6"/>
      <c r="H17" s="5"/>
    </row>
    <row r="18" spans="1:9" x14ac:dyDescent="0.2">
      <c r="A18" s="6"/>
      <c r="B18" s="6"/>
      <c r="C18" s="6"/>
      <c r="D18" s="6"/>
      <c r="E18" s="7" t="s">
        <v>18</v>
      </c>
      <c r="F18" s="6"/>
      <c r="G18" s="6"/>
      <c r="H18" s="5"/>
    </row>
    <row r="20" spans="1:9" x14ac:dyDescent="0.2">
      <c r="A20" s="1" t="s">
        <v>19</v>
      </c>
    </row>
    <row r="21" spans="1:9" x14ac:dyDescent="0.2">
      <c r="A21" t="s">
        <v>20</v>
      </c>
    </row>
    <row r="22" spans="1:9" x14ac:dyDescent="0.2">
      <c r="A22" s="14">
        <v>3</v>
      </c>
      <c r="B22" s="2" t="s">
        <v>21</v>
      </c>
      <c r="C22">
        <f>ABS(INT(A22))</f>
        <v>3</v>
      </c>
      <c r="D22">
        <f>IF(C22=1,1,IF(C22=2,2,IF(C22=3,3,1)))</f>
        <v>3</v>
      </c>
      <c r="E22" t="str">
        <f>IF(D22=1,"Pole locations in s-plane",IF(D22=2,"wn,zeta","Frequency (Hz),Q"))</f>
        <v>Frequency (Hz),Q</v>
      </c>
    </row>
    <row r="24" spans="1:9" x14ac:dyDescent="0.2">
      <c r="A24" s="1" t="s">
        <v>22</v>
      </c>
    </row>
    <row r="25" spans="1:9" x14ac:dyDescent="0.2">
      <c r="A25" s="15">
        <v>160</v>
      </c>
      <c r="B25" t="str">
        <f>IF(D22=1,"sigma (real) axis -- be sure entry is &lt; 0",IF(D22=2,"wn in rad/s","Frequency in Hz"))</f>
        <v>Frequency in Hz</v>
      </c>
    </row>
    <row r="26" spans="1:9" x14ac:dyDescent="0.2">
      <c r="A26" s="15">
        <v>0.8</v>
      </c>
      <c r="B26" t="str">
        <f>IF(D22=1,"+-jw  (imag) axis -- be sure entry is &gt; 0",IF(D22=2,"zeta","Q"))</f>
        <v>Q</v>
      </c>
    </row>
    <row r="27" spans="1:9" x14ac:dyDescent="0.2">
      <c r="A27" s="1" t="s">
        <v>23</v>
      </c>
    </row>
    <row r="28" spans="1:9" x14ac:dyDescent="0.2">
      <c r="A28" s="17" t="str">
        <f>IF(F29&lt;1,"sigma =","sigma 1 =")</f>
        <v>sigma =</v>
      </c>
      <c r="B28" s="18">
        <f>IF(F29&lt;1,-F29*F28,-F29*F28+F28*SQRT(F29^2-1))</f>
        <v>-628.31853071795865</v>
      </c>
      <c r="C28" s="18" t="s">
        <v>24</v>
      </c>
      <c r="E28" s="11" t="s">
        <v>25</v>
      </c>
      <c r="F28" s="11">
        <f>IF(D22=1,SQRT(A25*A25+A26*A26),IF(D22=2,A25,A25*2*PI()))</f>
        <v>1005.3096491487338</v>
      </c>
      <c r="H28" s="20" t="s">
        <v>26</v>
      </c>
      <c r="I28" s="22">
        <f>F28/(2*PI())</f>
        <v>160</v>
      </c>
    </row>
    <row r="29" spans="1:9" x14ac:dyDescent="0.2">
      <c r="A29" s="19" t="str">
        <f>IF(F29&lt;1,"+-jw =","sigma 2 =")</f>
        <v>+-jw =</v>
      </c>
      <c r="B29" s="18">
        <f>IF(F29&lt;1,F28*SQRT(1-F29^2),-F29*F28-F28*SQRT(F29^2-1))</f>
        <v>784.76959333805485</v>
      </c>
      <c r="C29" s="18" t="str">
        <f>IF(F29&lt;1,"radians/second","nepers/second")</f>
        <v>radians/second</v>
      </c>
      <c r="E29" s="11" t="s">
        <v>27</v>
      </c>
      <c r="F29" s="27">
        <f>IF(D22=1,-A25/F28,IF(D22=2,A26,1/(2*A26)))</f>
        <v>0.625</v>
      </c>
      <c r="H29" s="20" t="s">
        <v>28</v>
      </c>
      <c r="I29" s="23">
        <f>1/(2*F29)</f>
        <v>0.8</v>
      </c>
    </row>
    <row r="30" spans="1:9" x14ac:dyDescent="0.2">
      <c r="A30" t="s">
        <v>29</v>
      </c>
    </row>
    <row r="31" spans="1:9" x14ac:dyDescent="0.2">
      <c r="A31" s="1" t="s">
        <v>30</v>
      </c>
    </row>
    <row r="32" spans="1:9" x14ac:dyDescent="0.2">
      <c r="A32" s="1"/>
      <c r="F32" s="25" t="s">
        <v>60</v>
      </c>
      <c r="G32" s="3">
        <f>0.0000004/SQRT(I28)</f>
        <v>3.1622776601683792E-8</v>
      </c>
      <c r="H32" s="29"/>
      <c r="I32" s="29"/>
    </row>
    <row r="33" spans="1:9" x14ac:dyDescent="0.2">
      <c r="G33" s="13" t="s">
        <v>45</v>
      </c>
      <c r="H33" s="34">
        <f>G32/F29</f>
        <v>5.0596442562694066E-8</v>
      </c>
      <c r="I33" t="s">
        <v>46</v>
      </c>
    </row>
    <row r="34" spans="1:9" x14ac:dyDescent="0.2">
      <c r="A34" s="16" t="s">
        <v>62</v>
      </c>
      <c r="H34" s="35">
        <v>9.9999999999999995E-8</v>
      </c>
      <c r="I34" s="16" t="s">
        <v>31</v>
      </c>
    </row>
    <row r="35" spans="1:9" x14ac:dyDescent="0.2">
      <c r="A35" s="10" t="s">
        <v>63</v>
      </c>
      <c r="H35" s="30"/>
      <c r="I35" s="31"/>
    </row>
    <row r="36" spans="1:9" x14ac:dyDescent="0.2">
      <c r="A36" s="1" t="s">
        <v>32</v>
      </c>
      <c r="G36" s="4" t="s">
        <v>33</v>
      </c>
      <c r="H36" s="34">
        <f>H34*F29^2</f>
        <v>3.9062499999999997E-8</v>
      </c>
      <c r="I36" s="10" t="s">
        <v>58</v>
      </c>
    </row>
    <row r="37" spans="1:9" x14ac:dyDescent="0.2">
      <c r="A37" s="1" t="s">
        <v>34</v>
      </c>
      <c r="H37" s="35">
        <v>3.2999999999999998E-8</v>
      </c>
      <c r="I37" s="16" t="s">
        <v>35</v>
      </c>
    </row>
    <row r="38" spans="1:9" x14ac:dyDescent="0.2">
      <c r="A38" s="10" t="s">
        <v>54</v>
      </c>
      <c r="H38" s="32" t="str">
        <f>IF(H37&gt;H36,"Error: C2 too large!!!","")</f>
        <v/>
      </c>
      <c r="I38" s="31"/>
    </row>
    <row r="39" spans="1:9" x14ac:dyDescent="0.2">
      <c r="A39" s="1" t="s">
        <v>36</v>
      </c>
      <c r="H39" s="31"/>
      <c r="I39" s="31"/>
    </row>
    <row r="40" spans="1:9" x14ac:dyDescent="0.2">
      <c r="A40" s="25" t="s">
        <v>57</v>
      </c>
      <c r="B40" s="24">
        <f>H37/H34</f>
        <v>0.33</v>
      </c>
      <c r="C40" s="4" t="s">
        <v>37</v>
      </c>
      <c r="D40" s="9">
        <f>F29*F29</f>
        <v>0.390625</v>
      </c>
      <c r="F40" s="10" t="s">
        <v>61</v>
      </c>
      <c r="G40">
        <f>IF(D40-B40&gt;=0,(2*D40-B40+2*F29*SQRT(D40-B40))/B40,"Error: C2 too large!!!")</f>
        <v>2.3000812312306915</v>
      </c>
      <c r="H40" s="31"/>
      <c r="I40" s="31"/>
    </row>
    <row r="41" spans="1:9" x14ac:dyDescent="0.2">
      <c r="A41" s="1" t="s">
        <v>38</v>
      </c>
      <c r="E41" t="s">
        <v>47</v>
      </c>
      <c r="F41">
        <f>1/(F28*F28*H34*H37)</f>
        <v>299837783.03248632</v>
      </c>
      <c r="G41" t="s">
        <v>39</v>
      </c>
      <c r="H41" s="31"/>
      <c r="I41" s="31"/>
    </row>
    <row r="42" spans="1:9" x14ac:dyDescent="0.2">
      <c r="A42" s="1"/>
      <c r="H42" s="31"/>
      <c r="I42" s="31"/>
    </row>
    <row r="43" spans="1:9" x14ac:dyDescent="0.2">
      <c r="A43" s="16" t="s">
        <v>52</v>
      </c>
      <c r="H43" s="34">
        <f>IF(D40-B40&gt;=0,SQRT(F41/G40),"Error: C2 too large!!!")</f>
        <v>11417.515029982742</v>
      </c>
      <c r="I43" s="10" t="s">
        <v>59</v>
      </c>
    </row>
    <row r="44" spans="1:9" x14ac:dyDescent="0.2">
      <c r="A44" s="1" t="s">
        <v>40</v>
      </c>
      <c r="H44" s="35">
        <v>11500</v>
      </c>
      <c r="I44" s="16" t="s">
        <v>41</v>
      </c>
    </row>
    <row r="45" spans="1:9" x14ac:dyDescent="0.2">
      <c r="A45" s="1"/>
      <c r="H45" s="31"/>
      <c r="I45" s="31"/>
    </row>
    <row r="46" spans="1:9" x14ac:dyDescent="0.2">
      <c r="A46" s="16" t="s">
        <v>53</v>
      </c>
      <c r="H46" s="34">
        <f>IF(D40-B40&gt;=0,F41/H44,"Error: C2 too large!!!")</f>
        <v>26072.850698477072</v>
      </c>
      <c r="I46" s="10" t="s">
        <v>59</v>
      </c>
    </row>
    <row r="47" spans="1:9" x14ac:dyDescent="0.2">
      <c r="A47" s="1" t="s">
        <v>42</v>
      </c>
      <c r="H47" s="35">
        <v>26100</v>
      </c>
      <c r="I47" s="16" t="s">
        <v>43</v>
      </c>
    </row>
    <row r="48" spans="1:9" x14ac:dyDescent="0.2">
      <c r="A48" s="1"/>
      <c r="H48" s="33"/>
      <c r="I48" s="31"/>
    </row>
    <row r="49" spans="1:9" x14ac:dyDescent="0.2">
      <c r="A49" s="1" t="s">
        <v>44</v>
      </c>
    </row>
    <row r="50" spans="1:9" x14ac:dyDescent="0.2">
      <c r="A50" s="17" t="str">
        <f>A28</f>
        <v>sigma =</v>
      </c>
      <c r="B50" s="18">
        <f>IF(F51&lt;1,-F51*F50,-F51*F50+F50*SQRT(F51^2-1))</f>
        <v>-626.35348992170589</v>
      </c>
      <c r="C50" s="28" t="str">
        <f t="shared" ref="C50:C51" si="0">C28</f>
        <v>nepers/second</v>
      </c>
      <c r="E50" s="11" t="s">
        <v>25</v>
      </c>
      <c r="F50" s="12">
        <f>1/(SQRT(H44*H47*H34*H37))</f>
        <v>1004.7866499884504</v>
      </c>
      <c r="H50" s="20" t="s">
        <v>26</v>
      </c>
      <c r="I50" s="22">
        <f>F50/(2*PI())</f>
        <v>159.91676209840799</v>
      </c>
    </row>
    <row r="51" spans="1:9" x14ac:dyDescent="0.2">
      <c r="A51" s="17" t="str">
        <f>A29</f>
        <v>+-jw =</v>
      </c>
      <c r="B51" s="18">
        <f>IF(F51&lt;1,F50*SQRT(1-F51^2),-F51*F50-F50*SQRT(F51^2-1))</f>
        <v>785.67010739744467</v>
      </c>
      <c r="C51" s="28" t="str">
        <f t="shared" si="0"/>
        <v>radians/second</v>
      </c>
      <c r="E51" s="11" t="s">
        <v>27</v>
      </c>
      <c r="F51" s="26">
        <f>((H44+H47)/2)*SQRT(H37/(H44*H47*H34))</f>
        <v>0.6233696376528346</v>
      </c>
      <c r="H51" s="21" t="s">
        <v>28</v>
      </c>
      <c r="I51" s="23">
        <f>1/(2*F51)</f>
        <v>0.80209232179264189</v>
      </c>
    </row>
    <row r="52" spans="1:9" x14ac:dyDescent="0.2">
      <c r="A52" s="1" t="s">
        <v>48</v>
      </c>
    </row>
  </sheetData>
  <sheetProtection sheet="1" objects="1" scenarios="1"/>
  <phoneticPr fontId="8" type="noConversion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A. Kuhn</dc:creator>
  <cp:lastModifiedBy>Kenneth Kuhn</cp:lastModifiedBy>
  <cp:lastPrinted>2015-10-04T14:54:08Z</cp:lastPrinted>
  <dcterms:created xsi:type="dcterms:W3CDTF">1998-01-24T18:18:19Z</dcterms:created>
  <dcterms:modified xsi:type="dcterms:W3CDTF">2018-01-14T00:46:52Z</dcterms:modified>
</cp:coreProperties>
</file>