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7235" windowHeight="10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2" i="1" l="1"/>
  <c r="I17" i="1"/>
  <c r="I16" i="1"/>
  <c r="B25" i="1"/>
  <c r="B26" i="1"/>
  <c r="F19" i="1"/>
  <c r="B35" i="1"/>
  <c r="B44" i="1"/>
  <c r="B15" i="1"/>
  <c r="B17" i="1" s="1"/>
  <c r="B14" i="1"/>
  <c r="B16" i="1" s="1"/>
  <c r="B20" i="1"/>
  <c r="B37" i="1" s="1"/>
  <c r="F21" i="1" l="1"/>
  <c r="B36" i="1"/>
  <c r="B38" i="1" s="1"/>
  <c r="B39" i="1" s="1"/>
  <c r="B41" i="1" s="1"/>
  <c r="B27" i="1" l="1"/>
  <c r="B28" i="1" s="1"/>
  <c r="B30" i="1" s="1"/>
  <c r="H11" i="1" s="1"/>
  <c r="B47" i="1" l="1"/>
  <c r="B32" i="1" l="1"/>
  <c r="B31" i="1"/>
  <c r="B40" i="1"/>
  <c r="B42" i="1" s="1"/>
  <c r="B45" i="1" s="1"/>
</calcChain>
</file>

<file path=xl/sharedStrings.xml><?xml version="1.0" encoding="utf-8"?>
<sst xmlns="http://schemas.openxmlformats.org/spreadsheetml/2006/main" count="52" uniqueCount="52">
  <si>
    <t>Single layer solenoid inductor designer</t>
  </si>
  <si>
    <t>in. winding length</t>
  </si>
  <si>
    <t>feet of wire required</t>
  </si>
  <si>
    <t>in., bare wire diameter</t>
  </si>
  <si>
    <t>ohms, DC resistance of wire length</t>
  </si>
  <si>
    <t>skin effect factor, RAC/RDC</t>
  </si>
  <si>
    <t>in., inner core diameter (non-conducting)</t>
  </si>
  <si>
    <t>in.^2, cross area of wire</t>
  </si>
  <si>
    <t>in. wire plus insulation diameter (d)</t>
  </si>
  <si>
    <t>AWG gauge of conductor</t>
  </si>
  <si>
    <t>Step 1: Specify desired inductance in microhenries</t>
  </si>
  <si>
    <t>max suggested magnet wire gauge</t>
  </si>
  <si>
    <t>min suggested magnet wire gauge</t>
  </si>
  <si>
    <t>Step 3: Specify wire gauge and overall wire diameter including insulation</t>
  </si>
  <si>
    <t>Step 4: Calculate required number of turns</t>
  </si>
  <si>
    <t>Step 5: Calculate coil parameters and length of wire required</t>
  </si>
  <si>
    <t>Step 8: Calculate electrical height in meters of coil if used as an antenna (optional)</t>
  </si>
  <si>
    <t>length/diameter ratio -- should generally be between 0.5 and 2</t>
  </si>
  <si>
    <t>Step 2: Specify the bare form diameter in inches and determine suitable wire size range.</t>
  </si>
  <si>
    <t>number of turns required</t>
  </si>
  <si>
    <t>check</t>
  </si>
  <si>
    <t>Bare wire diameter in inches = 0.324857*exp(-0.115939*AWG)</t>
  </si>
  <si>
    <t>Copper wire resistance per foot = 0.0000982906*exp(0.231883*AWG)  (at 20 degrees C)</t>
  </si>
  <si>
    <t>in.^2, cross area of inner core (non conducting)</t>
  </si>
  <si>
    <t>Step 6: Specify Frequency and calculate AC resistance using simple skin depth</t>
  </si>
  <si>
    <t>MHz, frequency for calculations  below</t>
  </si>
  <si>
    <t>Step 7: Calculate coil reactance and unloaded Q (Qu) at specified frequency</t>
  </si>
  <si>
    <t>meters, electrical height at specified frequency</t>
  </si>
  <si>
    <t>ohms, reactance at specified frequency</t>
  </si>
  <si>
    <t>Qu at specified frequency -- an estimate -- probably optimisitic</t>
  </si>
  <si>
    <t>in., skin depth at specified frequency</t>
  </si>
  <si>
    <t>Skin depth of copper in inches = 0.0026/sqrt(F in MHz)</t>
  </si>
  <si>
    <t>in. ~magnet wire insul. thick.</t>
  </si>
  <si>
    <t>in.,~magnet wire total dia.</t>
  </si>
  <si>
    <t>ohms, AC resistance at specified frequency</t>
  </si>
  <si>
    <t>in. extra space between wraps -- use zero for tight wrap  (s)</t>
  </si>
  <si>
    <t>40(d+s)L</t>
  </si>
  <si>
    <t>sqrt((40(d+s)L)^2+4*18*D^3*L)</t>
  </si>
  <si>
    <t>inductor_design.xlsx</t>
  </si>
  <si>
    <t>written by Kenneth A. Kuhn</t>
  </si>
  <si>
    <t>Ver. 1.0, March 9, 2015</t>
  </si>
  <si>
    <t>uH, desired inductance (L)</t>
  </si>
  <si>
    <t>Instructions:</t>
  </si>
  <si>
    <t>User input is in cells  with bold italic red and light green background.  Other cells locked.</t>
  </si>
  <si>
    <t>in., min suggested wire diameter including insulation</t>
  </si>
  <si>
    <t>in., max suggested wire diameter including insulation</t>
  </si>
  <si>
    <t>Equations:</t>
  </si>
  <si>
    <t>len./dia.</t>
  </si>
  <si>
    <t>in.^2, area of skin depth (conducting) (~simple calculation)</t>
  </si>
  <si>
    <t>Key results are in bold blue text.  Sheet can print on a single page.</t>
  </si>
  <si>
    <t>in., Form diameter (FD)</t>
  </si>
  <si>
    <t>in. effective diameter (D = FD +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</si>
</sst>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00"/>
    <numFmt numFmtId="166" formatCode="0.0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5" fontId="0" fillId="0" borderId="0" xfId="0" applyNumberFormat="1"/>
    <xf numFmtId="48" fontId="0" fillId="0" borderId="0" xfId="0" applyNumberFormat="1"/>
    <xf numFmtId="166" fontId="0" fillId="0" borderId="0" xfId="0" applyNumberFormat="1"/>
    <xf numFmtId="3" fontId="0" fillId="0" borderId="0" xfId="0" applyNumberFormat="1"/>
    <xf numFmtId="0" fontId="4" fillId="0" borderId="0" xfId="0" applyFont="1"/>
    <xf numFmtId="0" fontId="1" fillId="2" borderId="0" xfId="0" applyFont="1" applyFill="1"/>
    <xf numFmtId="2" fontId="6" fillId="0" borderId="0" xfId="0" applyNumberFormat="1" applyFont="1"/>
    <xf numFmtId="166" fontId="6" fillId="0" borderId="0" xfId="0" applyNumberFormat="1" applyFont="1"/>
    <xf numFmtId="3" fontId="6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6" fillId="0" borderId="0" xfId="0" applyNumberFormat="1" applyFont="1"/>
    <xf numFmtId="0" fontId="7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Protection="1">
      <protection locked="0"/>
    </xf>
    <xf numFmtId="166" fontId="5" fillId="2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topLeftCell="A4" workbookViewId="0">
      <selection activeCell="B14" sqref="B14"/>
    </sheetView>
  </sheetViews>
  <sheetFormatPr defaultRowHeight="15" x14ac:dyDescent="0.25"/>
  <cols>
    <col min="1" max="1" width="10.5703125" bestFit="1" customWidth="1"/>
    <col min="10" max="10" width="12" bestFit="1" customWidth="1"/>
  </cols>
  <sheetData>
    <row r="1" spans="1:13" x14ac:dyDescent="0.25">
      <c r="A1" s="5" t="s">
        <v>0</v>
      </c>
    </row>
    <row r="2" spans="1:13" x14ac:dyDescent="0.25">
      <c r="A2" s="19" t="s">
        <v>38</v>
      </c>
      <c r="D2" t="s">
        <v>39</v>
      </c>
      <c r="G2" t="s">
        <v>40</v>
      </c>
    </row>
    <row r="3" spans="1:13" x14ac:dyDescent="0.25">
      <c r="A3" s="5" t="s">
        <v>42</v>
      </c>
    </row>
    <row r="4" spans="1:13" x14ac:dyDescent="0.25">
      <c r="A4" s="12" t="s">
        <v>43</v>
      </c>
      <c r="B4" s="12"/>
      <c r="C4" s="12"/>
      <c r="D4" s="12"/>
      <c r="E4" s="12"/>
      <c r="F4" s="12"/>
      <c r="G4" s="12"/>
      <c r="H4" s="12"/>
      <c r="I4" s="12"/>
    </row>
    <row r="5" spans="1:13" x14ac:dyDescent="0.25">
      <c r="A5" s="12" t="s">
        <v>49</v>
      </c>
      <c r="B5" s="12"/>
      <c r="C5" s="12"/>
      <c r="D5" s="12"/>
      <c r="E5" s="12"/>
      <c r="F5" s="12"/>
      <c r="G5" s="12"/>
      <c r="H5" s="12"/>
      <c r="I5" s="12"/>
    </row>
    <row r="6" spans="1:13" x14ac:dyDescent="0.25">
      <c r="A6" s="5" t="s">
        <v>46</v>
      </c>
    </row>
    <row r="7" spans="1:13" x14ac:dyDescent="0.25">
      <c r="A7" t="s">
        <v>21</v>
      </c>
      <c r="K7" s="3"/>
      <c r="L7" s="3"/>
      <c r="M7" s="3"/>
    </row>
    <row r="8" spans="1:13" x14ac:dyDescent="0.25">
      <c r="A8" t="s">
        <v>22</v>
      </c>
      <c r="K8" s="3"/>
      <c r="L8" s="3"/>
      <c r="M8" s="3"/>
    </row>
    <row r="9" spans="1:13" x14ac:dyDescent="0.25">
      <c r="A9" t="s">
        <v>31</v>
      </c>
      <c r="K9" s="3"/>
      <c r="L9" s="3"/>
      <c r="M9" s="3"/>
    </row>
    <row r="10" spans="1:13" x14ac:dyDescent="0.25">
      <c r="A10" s="11" t="s">
        <v>10</v>
      </c>
      <c r="K10" s="4"/>
      <c r="L10" s="4"/>
      <c r="M10" s="4"/>
    </row>
    <row r="11" spans="1:13" x14ac:dyDescent="0.25">
      <c r="A11" s="22">
        <v>240</v>
      </c>
      <c r="B11" t="s">
        <v>41</v>
      </c>
      <c r="H11">
        <f>B25^2*B28^2/(18*B25+40*B30)</f>
        <v>240.00000000000003</v>
      </c>
      <c r="I11" t="s">
        <v>20</v>
      </c>
    </row>
    <row r="12" spans="1:13" x14ac:dyDescent="0.25">
      <c r="A12" s="11" t="s">
        <v>18</v>
      </c>
    </row>
    <row r="13" spans="1:13" x14ac:dyDescent="0.25">
      <c r="A13" s="22">
        <v>4.5</v>
      </c>
      <c r="B13" t="s">
        <v>50</v>
      </c>
      <c r="I13" s="20" t="s">
        <v>47</v>
      </c>
    </row>
    <row r="14" spans="1:13" x14ac:dyDescent="0.25">
      <c r="B14" s="17">
        <f>$A$13*I14/SQRT($A$11*(18+40*I14)/$A$13)</f>
        <v>4.9979436560923421E-2</v>
      </c>
      <c r="C14" t="s">
        <v>44</v>
      </c>
      <c r="I14" s="21">
        <v>0.5</v>
      </c>
    </row>
    <row r="15" spans="1:13" x14ac:dyDescent="0.25">
      <c r="B15" s="17">
        <f>$A$13*I15/SQRT($A$11*(18+40*I15)/$A$13)</f>
        <v>0.12448875041380983</v>
      </c>
      <c r="C15" t="s">
        <v>45</v>
      </c>
      <c r="I15" s="21">
        <v>2</v>
      </c>
    </row>
    <row r="16" spans="1:13" x14ac:dyDescent="0.25">
      <c r="B16" s="16">
        <f>INT(LN(B14/0.324857)/-0.115939+0.5)</f>
        <v>16</v>
      </c>
      <c r="C16" t="s">
        <v>11</v>
      </c>
      <c r="I16" s="21">
        <f>I14</f>
        <v>0.5</v>
      </c>
    </row>
    <row r="17" spans="1:9" x14ac:dyDescent="0.25">
      <c r="B17" s="16">
        <f>INT(LN(B15/0.324857)/-0.115939+0.5)</f>
        <v>8</v>
      </c>
      <c r="C17" t="s">
        <v>12</v>
      </c>
      <c r="I17" s="21">
        <f>I15</f>
        <v>2</v>
      </c>
    </row>
    <row r="18" spans="1:9" x14ac:dyDescent="0.25">
      <c r="A18" s="11" t="s">
        <v>13</v>
      </c>
    </row>
    <row r="19" spans="1:9" x14ac:dyDescent="0.25">
      <c r="A19" s="22">
        <v>14</v>
      </c>
      <c r="B19" t="s">
        <v>9</v>
      </c>
      <c r="F19">
        <f>0.004*EXP(-LN(2)*A19/10)</f>
        <v>1.5157165665103983E-3</v>
      </c>
      <c r="G19" t="s">
        <v>32</v>
      </c>
    </row>
    <row r="20" spans="1:9" x14ac:dyDescent="0.25">
      <c r="B20" s="17">
        <f>0.324857*EXP(-0.115939*A19)</f>
        <v>6.4086843003408833E-2</v>
      </c>
      <c r="C20" t="s">
        <v>3</v>
      </c>
    </row>
    <row r="21" spans="1:9" x14ac:dyDescent="0.25">
      <c r="A21" s="22">
        <v>6.7000000000000004E-2</v>
      </c>
      <c r="B21" t="s">
        <v>8</v>
      </c>
      <c r="F21" s="17">
        <f>B20+2*F19</f>
        <v>6.7118276136429636E-2</v>
      </c>
      <c r="G21" t="s">
        <v>33</v>
      </c>
    </row>
    <row r="22" spans="1:9" x14ac:dyDescent="0.25">
      <c r="A22" s="6" t="str">
        <f>IF(A21&lt;B20,"Warning: bare wire plus insulation less than bare wire dia.  Calculations below not valid.","OK")</f>
        <v>OK</v>
      </c>
    </row>
    <row r="23" spans="1:9" x14ac:dyDescent="0.25">
      <c r="A23" s="11" t="s">
        <v>14</v>
      </c>
    </row>
    <row r="24" spans="1:9" x14ac:dyDescent="0.25">
      <c r="A24" s="23">
        <v>0</v>
      </c>
      <c r="B24" t="s">
        <v>35</v>
      </c>
    </row>
    <row r="25" spans="1:9" x14ac:dyDescent="0.25">
      <c r="B25" s="3">
        <f>A13+A21</f>
        <v>4.5670000000000002</v>
      </c>
      <c r="C25" t="s">
        <v>51</v>
      </c>
    </row>
    <row r="26" spans="1:9" x14ac:dyDescent="0.25">
      <c r="B26" s="3">
        <f>40*(A21+A24)*A11</f>
        <v>643.20000000000005</v>
      </c>
      <c r="C26" t="s">
        <v>36</v>
      </c>
    </row>
    <row r="27" spans="1:9" x14ac:dyDescent="0.25">
      <c r="B27" s="3">
        <f>SQRT(B26^2+4*18*B25^3*A11)</f>
        <v>1435.1768361789568</v>
      </c>
      <c r="C27" t="s">
        <v>37</v>
      </c>
    </row>
    <row r="28" spans="1:9" x14ac:dyDescent="0.25">
      <c r="B28" s="13">
        <f>(B26+B27)/(2*B25^2)</f>
        <v>49.823275375548732</v>
      </c>
      <c r="C28" t="s">
        <v>19</v>
      </c>
    </row>
    <row r="29" spans="1:9" x14ac:dyDescent="0.25">
      <c r="A29" s="11" t="s">
        <v>15</v>
      </c>
      <c r="B29" s="3"/>
    </row>
    <row r="30" spans="1:9" x14ac:dyDescent="0.25">
      <c r="B30" s="3">
        <f>B28*(A21+A24)</f>
        <v>3.3381594501617653</v>
      </c>
      <c r="C30" t="s">
        <v>1</v>
      </c>
    </row>
    <row r="31" spans="1:9" x14ac:dyDescent="0.25">
      <c r="B31" s="3">
        <f>B30/B25</f>
        <v>0.73093046861435629</v>
      </c>
      <c r="C31" t="s">
        <v>17</v>
      </c>
    </row>
    <row r="32" spans="1:9" x14ac:dyDescent="0.25">
      <c r="B32" s="13">
        <f>(B28*PI()*B25+B30)/12</f>
        <v>59.848771516210377</v>
      </c>
      <c r="C32" t="s">
        <v>2</v>
      </c>
    </row>
    <row r="33" spans="1:3" x14ac:dyDescent="0.25">
      <c r="A33" s="11" t="s">
        <v>24</v>
      </c>
      <c r="B33" s="3"/>
    </row>
    <row r="34" spans="1:3" x14ac:dyDescent="0.25">
      <c r="A34" s="22">
        <v>1</v>
      </c>
      <c r="B34" s="3" t="s">
        <v>25</v>
      </c>
    </row>
    <row r="35" spans="1:3" x14ac:dyDescent="0.25">
      <c r="B35" s="7">
        <f>0.0026/SQRT(A34)</f>
        <v>2.5999999999999999E-3</v>
      </c>
      <c r="C35" t="s">
        <v>30</v>
      </c>
    </row>
    <row r="36" spans="1:3" x14ac:dyDescent="0.25">
      <c r="B36" s="7">
        <f>IF(B20-2*B35&lt;0,0,B20-2*B35)</f>
        <v>5.8886843003408837E-2</v>
      </c>
      <c r="C36" t="s">
        <v>6</v>
      </c>
    </row>
    <row r="37" spans="1:3" x14ac:dyDescent="0.25">
      <c r="B37" s="8">
        <f>PI()*B20^2/4</f>
        <v>3.2257272114477598E-3</v>
      </c>
      <c r="C37" t="s">
        <v>7</v>
      </c>
    </row>
    <row r="38" spans="1:3" x14ac:dyDescent="0.25">
      <c r="B38" s="8">
        <f>PI()*B36^2/4</f>
        <v>2.7234940143407208E-3</v>
      </c>
      <c r="C38" t="s">
        <v>23</v>
      </c>
    </row>
    <row r="39" spans="1:3" x14ac:dyDescent="0.25">
      <c r="B39" s="8">
        <f>B37-B38</f>
        <v>5.0223319710703896E-4</v>
      </c>
      <c r="C39" t="s">
        <v>48</v>
      </c>
    </row>
    <row r="40" spans="1:3" x14ac:dyDescent="0.25">
      <c r="B40" s="9">
        <f>0.0000982906*EXP(0.231883*A19)*B32</f>
        <v>0.15116259169516089</v>
      </c>
      <c r="C40" t="s">
        <v>4</v>
      </c>
    </row>
    <row r="41" spans="1:3" x14ac:dyDescent="0.25">
      <c r="B41" s="9">
        <f>B37/B39</f>
        <v>6.4227678099109671</v>
      </c>
      <c r="C41" t="s">
        <v>5</v>
      </c>
    </row>
    <row r="42" spans="1:3" x14ac:dyDescent="0.25">
      <c r="B42" s="14">
        <f>B41*B40</f>
        <v>0.97088222800239421</v>
      </c>
      <c r="C42" t="s">
        <v>34</v>
      </c>
    </row>
    <row r="43" spans="1:3" x14ac:dyDescent="0.25">
      <c r="A43" s="11" t="s">
        <v>26</v>
      </c>
      <c r="B43" s="9"/>
    </row>
    <row r="44" spans="1:3" x14ac:dyDescent="0.25">
      <c r="B44" s="15">
        <f>2*PI()*A34*A11</f>
        <v>1507.9644737231006</v>
      </c>
      <c r="C44" t="s">
        <v>28</v>
      </c>
    </row>
    <row r="45" spans="1:3" x14ac:dyDescent="0.25">
      <c r="B45" s="15">
        <f>B44/B42</f>
        <v>1553.1899031932655</v>
      </c>
      <c r="C45" t="s">
        <v>29</v>
      </c>
    </row>
    <row r="46" spans="1:3" x14ac:dyDescent="0.25">
      <c r="A46" s="11" t="s">
        <v>16</v>
      </c>
      <c r="B46" s="10"/>
    </row>
    <row r="47" spans="1:3" x14ac:dyDescent="0.25">
      <c r="B47" s="18">
        <f>0.0000000000106*A34*1000000*B28*B25^2</f>
        <v>1.1015397231748471E-2</v>
      </c>
      <c r="C47" t="s">
        <v>27</v>
      </c>
    </row>
    <row r="70" spans="6:7" x14ac:dyDescent="0.25">
      <c r="F70" s="1"/>
      <c r="G70" s="2"/>
    </row>
    <row r="93" spans="2:4" x14ac:dyDescent="0.25">
      <c r="B93" s="3"/>
      <c r="D93" s="3"/>
    </row>
    <row r="94" spans="2:4" x14ac:dyDescent="0.25">
      <c r="B94" s="3"/>
      <c r="C94" s="3"/>
      <c r="D94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Kuhn</dc:creator>
  <cp:lastModifiedBy>Kenneth Kuhn</cp:lastModifiedBy>
  <cp:lastPrinted>2015-03-09T02:16:45Z</cp:lastPrinted>
  <dcterms:created xsi:type="dcterms:W3CDTF">2015-03-08T16:25:55Z</dcterms:created>
  <dcterms:modified xsi:type="dcterms:W3CDTF">2016-07-13T14:01:54Z</dcterms:modified>
</cp:coreProperties>
</file>