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1280" windowHeight="616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<sst xmlns="http://schemas.openxmlformats.org/spreadsheetml/2006/main" count="87" uniqueCount="72">
  <si>
    <t>Spreadsheet to compute component values for Sallen-Key low-pass filter section</t>
  </si>
  <si>
    <t>Written by Kenneth A. Kuhn</t>
  </si>
  <si>
    <t>This spreadsheet guides the user through a design of a second-order Sallen-Key low-pass</t>
  </si>
  <si>
    <t>filter section.  Since capacitor values are less available than resistor values the spreadsheet</t>
  </si>
  <si>
    <t>guides the user in selecting available values.  Then the appropriate resistor values are computed.</t>
  </si>
  <si>
    <t>A key feature of this spreadsheet is that the component values end up being near broad optimums.</t>
  </si>
  <si>
    <t>This spreadsheet is designed to print out on one page.  User input cells are in red.</t>
  </si>
  <si>
    <t xml:space="preserve">   +---</t>
  </si>
  <si>
    <t>-------</t>
  </si>
  <si>
    <t>--C1---</t>
  </si>
  <si>
    <t>---+</t>
  </si>
  <si>
    <t xml:space="preserve">   |</t>
  </si>
  <si>
    <t>Input</t>
  </si>
  <si>
    <t>---*---</t>
  </si>
  <si>
    <t>--R2---</t>
  </si>
  <si>
    <t>Gain=1</t>
  </si>
  <si>
    <t>Output</t>
  </si>
  <si>
    <t>(Amplifier)</t>
  </si>
  <si>
    <t xml:space="preserve">  C2</t>
  </si>
  <si>
    <t xml:space="preserve">  Gnd</t>
  </si>
  <si>
    <t>Step 1: Enter 1, 2, or 3 for the desired input mode as described below:</t>
  </si>
  <si>
    <t>Mode 1 is for pole locations in the s-plane, 2 is for wn, zeta, 3 is for Frequency, Q.</t>
  </si>
  <si>
    <t>= mode</t>
  </si>
  <si>
    <t>Step 2: Enter the data in the format specified in step 1</t>
  </si>
  <si>
    <t>Step 3: For reference, display input in all three forms</t>
  </si>
  <si>
    <t>sigma =</t>
  </si>
  <si>
    <t>nepers/second</t>
  </si>
  <si>
    <t>wn (rad/s) =</t>
  </si>
  <si>
    <t>Fn (Hz) =</t>
  </si>
  <si>
    <t>+-jw =</t>
  </si>
  <si>
    <t>radians/second</t>
  </si>
  <si>
    <t>zeta =</t>
  </si>
  <si>
    <t>Q =</t>
  </si>
  <si>
    <t>Note: the circuit becomes very impractical if Q is greater than about 15.</t>
  </si>
  <si>
    <t xml:space="preserve">Step 4:  Determine nominal range of component values </t>
  </si>
  <si>
    <t>Freq.:</t>
  </si>
  <si>
    <t>Rnominal</t>
  </si>
  <si>
    <t>Ohms, Nominal resistor value</t>
  </si>
  <si>
    <t>Rn = k1/e^(ln(F)/k2)    k2 =</t>
  </si>
  <si>
    <t>k1 =</t>
  </si>
  <si>
    <t>Step 5: Round the nominal C1 capacitance to a standard value</t>
  </si>
  <si>
    <t>F, C1</t>
  </si>
  <si>
    <t>Step 6: Compute the maximum possible capacitance for C2</t>
  </si>
  <si>
    <t>(z^2 * C1)</t>
  </si>
  <si>
    <t>F, C2Max</t>
  </si>
  <si>
    <t>Step 7: Round C2 Max down to a standard value</t>
  </si>
  <si>
    <t>F, C2</t>
  </si>
  <si>
    <t>Step 8: Calculate the ratio, k = R2/R1</t>
  </si>
  <si>
    <t>k=R2/R1=</t>
  </si>
  <si>
    <t>M =</t>
  </si>
  <si>
    <t>z^2 =</t>
  </si>
  <si>
    <t>Step 9: Calculate the value of R1*R2</t>
  </si>
  <si>
    <t>Ohms^2</t>
  </si>
  <si>
    <t>Step 10: Calculate R1</t>
  </si>
  <si>
    <t>Ohms</t>
  </si>
  <si>
    <t>Step 11: Round the value of R1 above to a nearby standard value</t>
  </si>
  <si>
    <t>Ohms, R1</t>
  </si>
  <si>
    <t>Step 12: Calculate R2</t>
  </si>
  <si>
    <t>Step 13: Round the value of R2 to the closest standard value</t>
  </si>
  <si>
    <t>Ohms, R2</t>
  </si>
  <si>
    <t>Step 14: Analyze the design to make sure it meets the given specifications</t>
  </si>
  <si>
    <t>Farads, Nominal C1 capacitance:</t>
  </si>
  <si>
    <t>Version 1.3, Jan, 1, 2008</t>
  </si>
  <si>
    <t>sallen_key_design.xls</t>
  </si>
  <si>
    <t>F,C1 nom</t>
  </si>
  <si>
    <t>Note: Do not round up or down to more than about 5 standard values away</t>
  </si>
  <si>
    <t>Note: Do not round down to more than about 5 standard values away</t>
  </si>
  <si>
    <t>R1*R2 =</t>
  </si>
  <si>
    <t>The above values should be in close agreement with those in Step 3</t>
  </si>
  <si>
    <t>---*--&gt;</t>
  </si>
  <si>
    <t>&gt;--*--&gt;</t>
  </si>
  <si>
    <t>&gt;--R1--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</si>
</sst>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Courier"/>
      <family val="3"/>
    </font>
    <font>
      <u val="single"/>
      <sz val="8"/>
      <name val="Arial"/>
      <family val="2"/>
    </font>
    <font>
      <sz val="8"/>
      <name val="Arial"/>
      <family val="2"/>
    </font>
    <font>
      <b/>
      <u val="single"/>
      <sz val="10"/>
      <color indexed="12"/>
      <name val="Arial"/>
      <family val="2"/>
    </font>
    <font>
      <b/>
      <i/>
      <u val="single"/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48" fontId="0" fillId="0" borderId="0" xfId="0" applyNumberForma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48" fontId="8" fillId="0" borderId="0" xfId="0" applyNumberFormat="1" applyFont="1" applyAlignment="1">
      <alignment/>
    </xf>
    <xf numFmtId="48" fontId="9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9" fillId="33" borderId="0" xfId="0" applyFont="1" applyFill="1" applyAlignment="1" applyProtection="1">
      <alignment/>
      <protection locked="0"/>
    </xf>
    <xf numFmtId="48" fontId="9" fillId="33" borderId="0" xfId="0" applyNumberFormat="1" applyFont="1" applyFill="1" applyAlignment="1" applyProtection="1">
      <alignment/>
      <protection locked="0"/>
    </xf>
    <xf numFmtId="48" fontId="10" fillId="0" borderId="0" xfId="0" applyNumberFormat="1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 quotePrefix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3" fillId="0" borderId="0" xfId="0" applyFont="1" applyAlignment="1" quotePrefix="1">
      <alignment horizontal="right"/>
    </xf>
    <xf numFmtId="0" fontId="0" fillId="0" borderId="0" xfId="0" applyFont="1" applyAlignment="1">
      <alignment horizontal="right"/>
    </xf>
    <xf numFmtId="48" fontId="10" fillId="0" borderId="0" xfId="0" applyNumberFormat="1" applyFont="1" applyAlignment="1">
      <alignment/>
    </xf>
    <xf numFmtId="48" fontId="7" fillId="0" borderId="0" xfId="0" applyNumberFormat="1" applyFont="1" applyAlignment="1">
      <alignment horizontal="left"/>
    </xf>
    <xf numFmtId="164" fontId="12" fillId="0" borderId="0" xfId="0" applyNumberFormat="1" applyFont="1" applyAlignment="1">
      <alignment horizontal="left"/>
    </xf>
    <xf numFmtId="165" fontId="13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10">
      <selection activeCell="H41" sqref="H41"/>
    </sheetView>
  </sheetViews>
  <sheetFormatPr defaultColWidth="9.140625" defaultRowHeight="12.75"/>
  <cols>
    <col min="1" max="1" width="9.57421875" style="0" bestFit="1" customWidth="1"/>
    <col min="8" max="8" width="9.7109375" style="0" customWidth="1"/>
  </cols>
  <sheetData>
    <row r="1" ht="12.75">
      <c r="A1" s="1" t="s">
        <v>0</v>
      </c>
    </row>
    <row r="2" spans="1:7" ht="12.75">
      <c r="A2" s="1" t="s">
        <v>63</v>
      </c>
      <c r="D2" s="1" t="s">
        <v>1</v>
      </c>
      <c r="G2" s="1" t="s">
        <v>62</v>
      </c>
    </row>
    <row r="4" ht="12.75">
      <c r="A4" t="s">
        <v>2</v>
      </c>
    </row>
    <row r="5" ht="12.75">
      <c r="A5" t="s">
        <v>3</v>
      </c>
    </row>
    <row r="6" ht="12.75">
      <c r="A6" t="s">
        <v>4</v>
      </c>
    </row>
    <row r="7" ht="12.75">
      <c r="A7" t="s">
        <v>5</v>
      </c>
    </row>
    <row r="8" ht="12.75">
      <c r="A8" t="s">
        <v>6</v>
      </c>
    </row>
    <row r="10" spans="1:8" ht="12.75">
      <c r="A10" s="5"/>
      <c r="B10" s="5"/>
      <c r="C10" s="5"/>
      <c r="D10" s="5"/>
      <c r="E10" s="13">
        <f>H37</f>
        <v>1E-07</v>
      </c>
      <c r="F10" s="5"/>
      <c r="G10" s="5"/>
      <c r="H10" s="5"/>
    </row>
    <row r="11" spans="1:8" ht="12.75">
      <c r="A11" s="6"/>
      <c r="B11" s="6"/>
      <c r="C11" s="7" t="s">
        <v>7</v>
      </c>
      <c r="D11" s="7" t="s">
        <v>8</v>
      </c>
      <c r="E11" s="7" t="s">
        <v>9</v>
      </c>
      <c r="F11" s="7" t="s">
        <v>8</v>
      </c>
      <c r="G11" s="7" t="s">
        <v>10</v>
      </c>
      <c r="H11" s="5"/>
    </row>
    <row r="12" spans="1:8" ht="12.75">
      <c r="A12" s="6"/>
      <c r="B12" s="6"/>
      <c r="C12" s="7" t="s">
        <v>11</v>
      </c>
      <c r="D12" s="7"/>
      <c r="E12" s="7"/>
      <c r="F12" s="7"/>
      <c r="G12" s="7" t="s">
        <v>11</v>
      </c>
      <c r="H12" s="5"/>
    </row>
    <row r="13" spans="1:8" ht="12.75">
      <c r="A13" s="6"/>
      <c r="B13" s="13">
        <f>H46</f>
        <v>4300</v>
      </c>
      <c r="C13" s="7" t="s">
        <v>11</v>
      </c>
      <c r="D13" s="13">
        <f>H48</f>
        <v>12000</v>
      </c>
      <c r="E13" s="7"/>
      <c r="F13" s="7"/>
      <c r="G13" s="7" t="s">
        <v>11</v>
      </c>
      <c r="H13" s="5"/>
    </row>
    <row r="14" spans="1:8" ht="12.75">
      <c r="A14" s="8" t="s">
        <v>12</v>
      </c>
      <c r="B14" s="7" t="s">
        <v>71</v>
      </c>
      <c r="C14" s="7" t="s">
        <v>13</v>
      </c>
      <c r="D14" s="7" t="s">
        <v>14</v>
      </c>
      <c r="E14" s="7" t="s">
        <v>69</v>
      </c>
      <c r="F14" s="7" t="s">
        <v>15</v>
      </c>
      <c r="G14" s="7" t="s">
        <v>70</v>
      </c>
      <c r="H14" s="7" t="s">
        <v>16</v>
      </c>
    </row>
    <row r="15" spans="1:8" ht="12.75">
      <c r="A15" s="6"/>
      <c r="B15" s="6"/>
      <c r="C15" s="6"/>
      <c r="D15" s="6"/>
      <c r="E15" s="7" t="s">
        <v>11</v>
      </c>
      <c r="F15" s="6" t="s">
        <v>17</v>
      </c>
      <c r="G15" s="6"/>
      <c r="H15" s="5"/>
    </row>
    <row r="16" spans="1:8" ht="12.75">
      <c r="A16" s="6"/>
      <c r="B16" s="6"/>
      <c r="C16" s="6"/>
      <c r="D16" s="13">
        <f>H40</f>
        <v>4.7E-09</v>
      </c>
      <c r="E16" s="7" t="s">
        <v>18</v>
      </c>
      <c r="F16" s="6"/>
      <c r="G16" s="6"/>
      <c r="H16" s="5"/>
    </row>
    <row r="17" spans="1:8" ht="12.75">
      <c r="A17" s="6"/>
      <c r="B17" s="6"/>
      <c r="C17" s="6"/>
      <c r="D17" s="6"/>
      <c r="E17" s="7" t="s">
        <v>11</v>
      </c>
      <c r="F17" s="6"/>
      <c r="G17" s="6"/>
      <c r="H17" s="5"/>
    </row>
    <row r="18" spans="1:8" ht="12.75">
      <c r="A18" s="6"/>
      <c r="B18" s="6"/>
      <c r="C18" s="6"/>
      <c r="D18" s="6"/>
      <c r="E18" s="7" t="s">
        <v>19</v>
      </c>
      <c r="F18" s="6"/>
      <c r="G18" s="6"/>
      <c r="H18" s="5"/>
    </row>
    <row r="20" ht="12.75">
      <c r="A20" s="1" t="s">
        <v>20</v>
      </c>
    </row>
    <row r="21" ht="12.75">
      <c r="A21" t="s">
        <v>21</v>
      </c>
    </row>
    <row r="22" spans="1:5" ht="12.75">
      <c r="A22" s="17">
        <v>3</v>
      </c>
      <c r="B22" s="2" t="s">
        <v>22</v>
      </c>
      <c r="C22">
        <f>ABS(INT(A22))</f>
        <v>3</v>
      </c>
      <c r="D22">
        <f>IF(C22=1,1,IF(C22=2,2,IF(C22=3,3,1)))</f>
        <v>3</v>
      </c>
      <c r="E22" t="str">
        <f>IF(D22=1,"Pole locations in s-plane",IF(D22=2,"wn,zeta","Frequency (Hz),Q"))</f>
        <v>Frequency (Hz),Q</v>
      </c>
    </row>
    <row r="24" ht="12.75">
      <c r="A24" s="1" t="s">
        <v>23</v>
      </c>
    </row>
    <row r="25" spans="1:2" ht="12.75">
      <c r="A25" s="18">
        <v>1000</v>
      </c>
      <c r="B25" t="str">
        <f>IF(D22=1,"sigma (real) axis -- be sure entry is &lt; 0",IF(D22=2,"wn in rad/s","Frequency in Hz"))</f>
        <v>Frequency in Hz</v>
      </c>
    </row>
    <row r="26" spans="1:2" ht="12.75">
      <c r="A26" s="18">
        <v>2</v>
      </c>
      <c r="B26" t="str">
        <f>IF(D22=1,"+-jw  (imag) axis -- be sure entry is &gt; 0",IF(D22=2,"zeta","Q"))</f>
        <v>Q</v>
      </c>
    </row>
    <row r="28" ht="12.75">
      <c r="A28" s="1" t="s">
        <v>24</v>
      </c>
    </row>
    <row r="29" spans="1:9" ht="12.75">
      <c r="A29" s="20" t="s">
        <v>25</v>
      </c>
      <c r="B29" s="21">
        <f>-F30*F29</f>
        <v>-1570.7963267948965</v>
      </c>
      <c r="C29" s="21" t="s">
        <v>26</v>
      </c>
      <c r="E29" s="23" t="s">
        <v>27</v>
      </c>
      <c r="F29" s="24">
        <f>IF(D22=1,SQRT(A25*A25+A26*A26),IF(D22=2,A25,A25*2*PI()))</f>
        <v>6283.185307179586</v>
      </c>
      <c r="H29" s="25" t="s">
        <v>28</v>
      </c>
      <c r="I29" s="26">
        <f>F29/(2*PI())</f>
        <v>999.9999999999999</v>
      </c>
    </row>
    <row r="30" spans="1:9" ht="12.75">
      <c r="A30" s="22" t="s">
        <v>29</v>
      </c>
      <c r="B30" s="21">
        <f>F29*SQRT(1-F30*F30)</f>
        <v>6083.668013960418</v>
      </c>
      <c r="C30" s="21" t="s">
        <v>30</v>
      </c>
      <c r="E30" s="23" t="s">
        <v>31</v>
      </c>
      <c r="F30" s="31">
        <f>IF(D22=1,-A25/F29,IF(D22=2,A26,1/(2*A26)))</f>
        <v>0.25</v>
      </c>
      <c r="H30" s="25" t="s">
        <v>32</v>
      </c>
      <c r="I30" s="32">
        <f>1/(2*F30)</f>
        <v>2</v>
      </c>
    </row>
    <row r="31" ht="12.75">
      <c r="A31" t="s">
        <v>33</v>
      </c>
    </row>
    <row r="33" spans="1:11" ht="12.75">
      <c r="A33" s="1" t="s">
        <v>34</v>
      </c>
      <c r="H33" s="9" t="s">
        <v>35</v>
      </c>
      <c r="I33" s="9" t="s">
        <v>36</v>
      </c>
      <c r="K33" s="10"/>
    </row>
    <row r="34" spans="1:10" ht="12.75">
      <c r="A34" s="3">
        <f>G35/(EXP(LN(I29)/G34))</f>
        <v>10000.000000000004</v>
      </c>
      <c r="B34" t="s">
        <v>37</v>
      </c>
      <c r="F34" s="11" t="s">
        <v>38</v>
      </c>
      <c r="G34" s="12">
        <f>LOG(H35/H34)/LOG(I34/I35)</f>
        <v>2</v>
      </c>
      <c r="H34" s="12">
        <v>0.1</v>
      </c>
      <c r="I34" s="30">
        <v>1000000</v>
      </c>
      <c r="J34" s="11"/>
    </row>
    <row r="35" spans="6:9" ht="12.75">
      <c r="F35" s="11" t="s">
        <v>39</v>
      </c>
      <c r="G35" s="12">
        <f>I34*EXP(LN(H34)/G34)</f>
        <v>316227.766016838</v>
      </c>
      <c r="H35" s="30">
        <v>100000</v>
      </c>
      <c r="I35" s="12">
        <v>1000</v>
      </c>
    </row>
    <row r="36" spans="7:9" ht="12.75">
      <c r="G36" s="28" t="s">
        <v>61</v>
      </c>
      <c r="H36" s="19">
        <f>1/(F29*A34*F30)</f>
        <v>6.366197723675812E-08</v>
      </c>
      <c r="I36" t="s">
        <v>64</v>
      </c>
    </row>
    <row r="37" spans="1:9" ht="12.75">
      <c r="A37" s="1" t="s">
        <v>40</v>
      </c>
      <c r="H37" s="18">
        <v>1E-07</v>
      </c>
      <c r="I37" t="s">
        <v>41</v>
      </c>
    </row>
    <row r="38" spans="1:8" ht="12.75">
      <c r="A38" s="16" t="s">
        <v>65</v>
      </c>
      <c r="H38" s="14"/>
    </row>
    <row r="39" spans="1:9" ht="12.75">
      <c r="A39" s="1" t="s">
        <v>42</v>
      </c>
      <c r="G39" s="4" t="s">
        <v>43</v>
      </c>
      <c r="H39" s="29">
        <f>H37*F30*F30</f>
        <v>6.25E-09</v>
      </c>
      <c r="I39" t="s">
        <v>44</v>
      </c>
    </row>
    <row r="40" spans="1:9" ht="12.75">
      <c r="A40" s="1" t="s">
        <v>45</v>
      </c>
      <c r="H40" s="18">
        <v>4.7E-09</v>
      </c>
      <c r="I40" t="s">
        <v>46</v>
      </c>
    </row>
    <row r="41" ht="12.75">
      <c r="A41" t="s">
        <v>66</v>
      </c>
    </row>
    <row r="42" spans="1:9" ht="12.75">
      <c r="A42" s="1" t="s">
        <v>47</v>
      </c>
      <c r="H42" t="s">
        <v>48</v>
      </c>
      <c r="I42">
        <f>(2*D43-B43+2*F30*SQRT(D43-B43))/B43</f>
        <v>2.9840318721264607</v>
      </c>
    </row>
    <row r="43" spans="1:4" ht="12.75">
      <c r="A43" s="4" t="s">
        <v>49</v>
      </c>
      <c r="B43" s="15">
        <f>H40/H37</f>
        <v>0.047</v>
      </c>
      <c r="C43" s="4" t="s">
        <v>50</v>
      </c>
      <c r="D43" s="15">
        <f>F30*F30</f>
        <v>0.0625</v>
      </c>
    </row>
    <row r="44" spans="1:9" ht="12.75">
      <c r="A44" s="1" t="s">
        <v>51</v>
      </c>
      <c r="G44" t="s">
        <v>67</v>
      </c>
      <c r="H44">
        <f>1/(F29*F29*H37*H40)</f>
        <v>53894246.61826478</v>
      </c>
      <c r="I44" t="s">
        <v>52</v>
      </c>
    </row>
    <row r="45" spans="1:9" ht="12.75">
      <c r="A45" s="1" t="s">
        <v>53</v>
      </c>
      <c r="H45" s="29">
        <f>SQRT(H44/I42)</f>
        <v>4249.809606978035</v>
      </c>
      <c r="I45" t="s">
        <v>54</v>
      </c>
    </row>
    <row r="46" spans="1:9" ht="12.75">
      <c r="A46" s="1" t="s">
        <v>55</v>
      </c>
      <c r="H46" s="18">
        <v>4300</v>
      </c>
      <c r="I46" t="s">
        <v>56</v>
      </c>
    </row>
    <row r="47" spans="1:9" ht="12.75">
      <c r="A47" s="1" t="s">
        <v>57</v>
      </c>
      <c r="H47" s="29">
        <f>H44/H46</f>
        <v>12533.545725177855</v>
      </c>
      <c r="I47" t="s">
        <v>54</v>
      </c>
    </row>
    <row r="48" spans="1:9" ht="12.75">
      <c r="A48" s="1" t="s">
        <v>58</v>
      </c>
      <c r="H48" s="18">
        <v>12000</v>
      </c>
      <c r="I48" t="s">
        <v>59</v>
      </c>
    </row>
    <row r="49" ht="12.75">
      <c r="A49" s="1" t="s">
        <v>60</v>
      </c>
    </row>
    <row r="50" spans="1:9" ht="12.75">
      <c r="A50" s="20" t="s">
        <v>25</v>
      </c>
      <c r="B50" s="21">
        <f>-F51*F50</f>
        <v>-1579.4573643410852</v>
      </c>
      <c r="C50" s="21" t="s">
        <v>26</v>
      </c>
      <c r="E50" s="23" t="s">
        <v>27</v>
      </c>
      <c r="F50" s="24">
        <f>1/(SQRT(H46*H48*H37*H40))</f>
        <v>6421.348198275034</v>
      </c>
      <c r="H50" s="25" t="s">
        <v>28</v>
      </c>
      <c r="I50" s="26">
        <f>F50/(2*PI())</f>
        <v>1021.9893070697077</v>
      </c>
    </row>
    <row r="51" spans="1:9" ht="12.75">
      <c r="A51" s="22" t="s">
        <v>29</v>
      </c>
      <c r="B51" s="21">
        <f>F50*SQRT(1-F51*F51)</f>
        <v>6224.068373477169</v>
      </c>
      <c r="C51" s="21" t="s">
        <v>30</v>
      </c>
      <c r="E51" s="23" t="s">
        <v>31</v>
      </c>
      <c r="F51" s="31">
        <f>((H46+H48)/2)*SQRT(H40/(H46*H48*H37))</f>
        <v>0.24596974273492514</v>
      </c>
      <c r="H51" s="27" t="s">
        <v>32</v>
      </c>
      <c r="I51" s="32">
        <f>1/(2*F51)</f>
        <v>2.032770349883385</v>
      </c>
    </row>
    <row r="52" ht="12.75">
      <c r="A52" s="1" t="s">
        <v>68</v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A. Kuhn</dc:creator>
  <cp:keywords/>
  <dc:description/>
  <cp:lastModifiedBy>Kenneth Kuhn</cp:lastModifiedBy>
  <cp:lastPrinted>2011-04-29T00:36:19Z</cp:lastPrinted>
  <dcterms:created xsi:type="dcterms:W3CDTF">1998-01-24T18:18:19Z</dcterms:created>
  <dcterms:modified xsi:type="dcterms:W3CDTF">2012-04-11T01:11:38Z</dcterms:modified>
  <cp:category/>
  <cp:version/>
  <cp:contentType/>
  <cp:contentStatus/>
</cp:coreProperties>
</file>